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1730" yWindow="0" windowWidth="10935" windowHeight="9435" tabRatio="860" activeTab="1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1'!$A$3:$G$75</definedName>
    <definedName name="_xlnm.Print_Area" localSheetId="2">'Раздел 2'!$A$3:$I$48</definedName>
    <definedName name="_xlnm.Print_Area" localSheetId="3">'Расчеты 2022г'!$A$1:$P$268</definedName>
  </definedNames>
  <calcPr calcId="124519"/>
</workbook>
</file>

<file path=xl/calcChain.xml><?xml version="1.0" encoding="utf-8"?>
<calcChain xmlns="http://schemas.openxmlformats.org/spreadsheetml/2006/main">
  <c r="G53" i="29"/>
  <c r="G56"/>
  <c r="G57"/>
  <c r="G58"/>
  <c r="R52"/>
  <c r="G217"/>
  <c r="K13" l="1"/>
  <c r="I13"/>
  <c r="H267"/>
  <c r="H260"/>
  <c r="G154"/>
  <c r="G153"/>
  <c r="H261" l="1"/>
  <c r="H255"/>
  <c r="H256"/>
  <c r="H257"/>
  <c r="H258"/>
  <c r="H259"/>
  <c r="L275"/>
  <c r="H266"/>
  <c r="G171"/>
  <c r="G172"/>
  <c r="G170"/>
  <c r="H13"/>
  <c r="H254" l="1"/>
  <c r="E19" i="12"/>
  <c r="F19"/>
  <c r="Q15" i="29" l="1"/>
  <c r="G16"/>
  <c r="Q16"/>
  <c r="T241"/>
  <c r="G177"/>
  <c r="H82" l="1"/>
  <c r="F240"/>
  <c r="G173"/>
  <c r="G178"/>
  <c r="H274"/>
  <c r="H181"/>
  <c r="H249"/>
  <c r="H268" s="1"/>
  <c r="G203"/>
  <c r="G207"/>
  <c r="F282" l="1"/>
  <c r="G155"/>
  <c r="E81"/>
  <c r="G13"/>
  <c r="Q14"/>
  <c r="I14"/>
  <c r="H14"/>
  <c r="G14"/>
  <c r="H15"/>
  <c r="I15"/>
  <c r="G15"/>
  <c r="H16"/>
  <c r="F13" l="1"/>
  <c r="G189"/>
  <c r="G190"/>
  <c r="G191"/>
  <c r="G192"/>
  <c r="G193"/>
  <c r="G194"/>
  <c r="G195"/>
  <c r="G196"/>
  <c r="G197"/>
  <c r="G198"/>
  <c r="G199"/>
  <c r="G200"/>
  <c r="G201"/>
  <c r="G202"/>
  <c r="G204"/>
  <c r="G205"/>
  <c r="G208"/>
  <c r="J13" l="1"/>
  <c r="G209"/>
  <c r="G237"/>
  <c r="G169"/>
  <c r="G166"/>
  <c r="U16"/>
  <c r="G14" i="21"/>
  <c r="H14"/>
  <c r="F14"/>
  <c r="F2" l="1"/>
  <c r="E32" i="12" l="1"/>
  <c r="F32"/>
  <c r="D32"/>
  <c r="G175" i="29"/>
  <c r="J59"/>
  <c r="U58"/>
  <c r="M13"/>
  <c r="G236"/>
  <c r="G241" s="1"/>
  <c r="J241"/>
  <c r="H241"/>
  <c r="G168"/>
  <c r="T100"/>
  <c r="E101"/>
  <c r="Q102" l="1"/>
  <c r="Q242"/>
  <c r="G226"/>
  <c r="G227" s="1"/>
  <c r="H227" s="1"/>
  <c r="O13" l="1"/>
  <c r="F251" l="1"/>
  <c r="G167"/>
  <c r="G151"/>
  <c r="G250"/>
  <c r="G249"/>
  <c r="R54"/>
  <c r="G149"/>
  <c r="G10" i="12"/>
  <c r="U253" i="29"/>
  <c r="T192" l="1"/>
  <c r="F250"/>
  <c r="I7" i="21"/>
  <c r="L280" i="29"/>
  <c r="L279"/>
  <c r="L278"/>
  <c r="L276"/>
  <c r="L274"/>
  <c r="E36" i="12"/>
  <c r="F36"/>
  <c r="D36"/>
  <c r="L277" i="29" s="1"/>
  <c r="E57" i="12"/>
  <c r="G7" i="21" s="1"/>
  <c r="F57" i="12"/>
  <c r="H7" i="21" s="1"/>
  <c r="H1" s="1"/>
  <c r="G57" i="12"/>
  <c r="D57"/>
  <c r="L282" i="29" s="1"/>
  <c r="E46" i="12"/>
  <c r="F46"/>
  <c r="D46"/>
  <c r="N268" i="29"/>
  <c r="G179"/>
  <c r="G176"/>
  <c r="E14" i="12"/>
  <c r="E11" s="1"/>
  <c r="F14"/>
  <c r="F11" s="1"/>
  <c r="G14"/>
  <c r="D14"/>
  <c r="H275" i="29"/>
  <c r="G19" i="12"/>
  <c r="D19"/>
  <c r="D11" l="1"/>
  <c r="G28" i="21"/>
  <c r="G1"/>
  <c r="H2"/>
  <c r="H28"/>
  <c r="G2"/>
  <c r="F7"/>
  <c r="F1" s="1"/>
  <c r="E31" i="12"/>
  <c r="F31"/>
  <c r="D31"/>
  <c r="F28" i="21" l="1"/>
  <c r="D10" i="12"/>
  <c r="H276" i="29" s="1"/>
  <c r="H277" s="1"/>
  <c r="E1" i="12"/>
  <c r="E2"/>
  <c r="L283" i="29"/>
  <c r="F10" i="12"/>
  <c r="D1"/>
  <c r="F1"/>
  <c r="E10"/>
  <c r="F2"/>
  <c r="D2" l="1"/>
  <c r="H59" i="29"/>
  <c r="Q13"/>
  <c r="F14" l="1"/>
  <c r="J14" l="1"/>
  <c r="K14" s="1"/>
  <c r="G164"/>
  <c r="K276"/>
  <c r="K268"/>
  <c r="F258"/>
  <c r="F257"/>
  <c r="F256"/>
  <c r="F252"/>
  <c r="I268"/>
  <c r="F248"/>
  <c r="G218"/>
  <c r="H218" s="1"/>
  <c r="M209"/>
  <c r="H209"/>
  <c r="M181"/>
  <c r="G180"/>
  <c r="J181"/>
  <c r="I156"/>
  <c r="J156" s="1"/>
  <c r="G152"/>
  <c r="G150"/>
  <c r="H132"/>
  <c r="G131"/>
  <c r="G130"/>
  <c r="G121"/>
  <c r="G112"/>
  <c r="K280"/>
  <c r="E91"/>
  <c r="K279" s="1"/>
  <c r="E80"/>
  <c r="Q80" s="1"/>
  <c r="M59"/>
  <c r="Q59" s="1"/>
  <c r="G54"/>
  <c r="R57"/>
  <c r="H35"/>
  <c r="K275" s="1"/>
  <c r="E26"/>
  <c r="G26" s="1"/>
  <c r="P17"/>
  <c r="O17"/>
  <c r="N17"/>
  <c r="M17"/>
  <c r="F16"/>
  <c r="F15"/>
  <c r="S268" l="1"/>
  <c r="G181"/>
  <c r="K282" s="1"/>
  <c r="F276"/>
  <c r="D276" s="1"/>
  <c r="M280"/>
  <c r="N280"/>
  <c r="M275"/>
  <c r="N275"/>
  <c r="M279"/>
  <c r="N279"/>
  <c r="M276"/>
  <c r="N276"/>
  <c r="J15"/>
  <c r="K15" s="1"/>
  <c r="L14"/>
  <c r="S14"/>
  <c r="R14" s="1"/>
  <c r="J16"/>
  <c r="K16" s="1"/>
  <c r="R58"/>
  <c r="R56"/>
  <c r="F91"/>
  <c r="K281"/>
  <c r="Q181"/>
  <c r="I82"/>
  <c r="K278"/>
  <c r="I35"/>
  <c r="I132"/>
  <c r="J209"/>
  <c r="F275" s="1"/>
  <c r="D275" s="1"/>
  <c r="T253"/>
  <c r="U254" s="1"/>
  <c r="T176"/>
  <c r="M281" l="1"/>
  <c r="N281"/>
  <c r="R181"/>
  <c r="G276"/>
  <c r="Q182"/>
  <c r="L13"/>
  <c r="M278"/>
  <c r="N278"/>
  <c r="G275"/>
  <c r="S16"/>
  <c r="R16" s="1"/>
  <c r="S15"/>
  <c r="R15" s="1"/>
  <c r="S13"/>
  <c r="R13" s="1"/>
  <c r="T177"/>
  <c r="L15"/>
  <c r="T193"/>
  <c r="R53"/>
  <c r="Q209"/>
  <c r="Q210" s="1"/>
  <c r="G29" i="12"/>
  <c r="R209" i="29" l="1"/>
  <c r="L16"/>
  <c r="L17" s="1"/>
  <c r="F274" s="1"/>
  <c r="D274" s="1"/>
  <c r="K17"/>
  <c r="F53" s="1"/>
  <c r="G52" l="1"/>
  <c r="U17"/>
  <c r="K274"/>
  <c r="V16"/>
  <c r="F57"/>
  <c r="G274" l="1"/>
  <c r="G277" s="1"/>
  <c r="F277"/>
  <c r="F56"/>
  <c r="F58"/>
  <c r="M274"/>
  <c r="N274"/>
  <c r="G55" l="1"/>
  <c r="G59" s="1"/>
  <c r="K277" s="1"/>
  <c r="N277" s="1"/>
  <c r="U60" l="1"/>
  <c r="U59"/>
  <c r="Q60"/>
  <c r="S59"/>
  <c r="M277" l="1"/>
  <c r="F254"/>
  <c r="S269" l="1"/>
  <c r="N282"/>
  <c r="T254"/>
  <c r="U268"/>
  <c r="M282" l="1"/>
  <c r="K283"/>
  <c r="K284" l="1"/>
  <c r="N283"/>
  <c r="K285"/>
  <c r="M283"/>
</calcChain>
</file>

<file path=xl/sharedStrings.xml><?xml version="1.0" encoding="utf-8"?>
<sst xmlns="http://schemas.openxmlformats.org/spreadsheetml/2006/main" count="1292" uniqueCount="442">
  <si>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</si>
  <si>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</si>
  <si>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</si>
  <si>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</si>
  <si>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</si>
  <si>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</si>
  <si>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</si>
  <si>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</si>
  <si>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</si>
  <si>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</si>
  <si>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</si>
  <si>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</si>
  <si>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</si>
  <si>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</si>
  <si>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</si>
  <si>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</si>
  <si>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</si>
  <si>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</si>
  <si>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</si>
  <si>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</si>
  <si>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</si>
  <si>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</si>
  <si>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</si>
  <si>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</si>
  <si>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</si>
  <si>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</si>
  <si>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</si>
  <si>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</si>
  <si>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</si>
  <si>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</si>
  <si>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</si>
  <si>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</si>
  <si>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</si>
  <si>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</si>
  <si>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</si>
  <si>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</si>
  <si>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</si>
  <si>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</si>
  <si>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</si>
  <si>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</si>
  <si>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</si>
  <si>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</si>
  <si>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</si>
  <si>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</si>
  <si>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</si>
  <si>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</si>
  <si>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</si>
  <si>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</si>
  <si>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</si>
  <si>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</si>
  <si>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</si>
  <si>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</si>
  <si>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</si>
  <si>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</si>
  <si>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</si>
  <si>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</si>
  <si>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</si>
  <si>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</si>
  <si>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</si>
  <si>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</si>
  <si>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</si>
  <si>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</si>
  <si>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</si>
  <si>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</si>
  <si>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</si>
  <si>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</si>
  <si>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</si>
  <si>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</si>
  <si>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</si>
  <si>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</si>
  <si>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</si>
  <si>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</si>
  <si>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</si>
  <si>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</si>
  <si>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</si>
  <si>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</si>
  <si>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</si>
  <si>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</si>
  <si>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</si>
  <si>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</si>
  <si>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</si>
  <si>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</si>
  <si>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</si>
  <si>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</si>
  <si>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</si>
  <si>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</si>
  <si>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</si>
  <si>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</si>
  <si>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</si>
  <si>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</si>
  <si>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</si>
  <si>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</si>
  <si>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</si>
  <si>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</si>
  <si>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</si>
  <si>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</si>
  <si>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</si>
  <si>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</si>
  <si>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</si>
  <si>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</si>
  <si>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</si>
  <si>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</si>
  <si>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</si>
  <si>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</si>
  <si>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</si>
  <si>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</si>
  <si>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</si>
  <si>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</si>
  <si>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</si>
  <si>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</si>
  <si>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</si>
  <si>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</si>
  <si>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</si>
  <si>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</si>
  <si>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</si>
  <si>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</si>
  <si>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</si>
  <si>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</si>
  <si>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</si>
  <si>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</si>
  <si>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</si>
  <si>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</si>
  <si>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</si>
  <si>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</si>
  <si>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</si>
  <si>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</si>
  <si>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</si>
  <si>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</si>
  <si>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</si>
  <si>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</si>
  <si>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</si>
  <si>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</si>
  <si>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</si>
  <si>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</si>
  <si>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</si>
  <si>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</si>
  <si>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</si>
  <si>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</si>
  <si>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</si>
  <si>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</si>
  <si>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</si>
  <si>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</si>
  <si>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</si>
  <si>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</si>
  <si>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</si>
  <si>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</si>
  <si>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</si>
  <si>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</si>
  <si>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</si>
  <si>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</si>
  <si>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</si>
  <si>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</si>
  <si>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</si>
  <si>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</si>
  <si>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</si>
  <si>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</si>
  <si>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</si>
  <si>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</si>
  <si>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</si>
  <si>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</si>
  <si>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</si>
  <si>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</si>
  <si>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</si>
  <si>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</si>
  <si>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</si>
  <si>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</si>
  <si>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</si>
  <si>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</si>
  <si>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</si>
  <si>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</si>
  <si>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</si>
  <si>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</si>
  <si>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</si>
  <si>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</si>
  <si>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</si>
  <si>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</si>
  <si>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</si>
  <si>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</si>
  <si>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</si>
  <si>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</si>
  <si>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</si>
  <si>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</si>
  <si>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</si>
  <si>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</si>
  <si>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</si>
  <si>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</si>
  <si>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</si>
  <si>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</si>
  <si>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</si>
  <si>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</si>
  <si>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</si>
  <si>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</si>
  <si>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</si>
  <si>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</si>
  <si>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</si>
  <si>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</si>
  <si>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</si>
  <si>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</si>
  <si>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</si>
  <si>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</si>
  <si>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</si>
  <si>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</si>
  <si>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</si>
  <si>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</si>
  <si>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</si>
  <si>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</si>
  <si>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</si>
  <si>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</si>
  <si>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</si>
  <si>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</si>
  <si>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</si>
  <si>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</si>
  <si>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</si>
  <si>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</si>
  <si>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</si>
  <si>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</si>
  <si>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</si>
  <si>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</si>
  <si>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</si>
  <si>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</si>
  <si>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</si>
  <si>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</si>
  <si>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</si>
  <si>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</si>
  <si>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</si>
  <si>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</si>
  <si>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</si>
  <si>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</si>
  <si>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</si>
  <si>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</si>
  <si>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</si>
  <si>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</si>
  <si>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</si>
  <si>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</si>
  <si>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</si>
  <si>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</si>
  <si>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</si>
  <si>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</si>
  <si>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</si>
  <si>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</si>
  <si>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</si>
  <si>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</si>
  <si>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</si>
  <si>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</si>
  <si>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</si>
  <si>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</si>
  <si>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</si>
  <si>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</si>
  <si>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</si>
  <si>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</si>
  <si>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</si>
  <si>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</si>
  <si>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</si>
  <si>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</si>
  <si>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</si>
  <si>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</si>
  <si>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</si>
  <si>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</si>
  <si>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</si>
  <si>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</si>
  <si>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</si>
  <si>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</si>
  <si>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</si>
  <si>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Приобретение продуктов питания</t>
  </si>
  <si>
    <t>Приобретение горюче-смазочных материалов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</si>
  <si>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</si>
  <si>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</si>
  <si>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</si>
  <si>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</si>
  <si>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</si>
  <si>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</si>
  <si>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Техническое обслуживание тахографа</t>
  </si>
  <si>
    <t>Техническое обслуживание автоматических установок противопожарной защиты (ТО АПС)</t>
  </si>
  <si>
    <t>Съем показаний учета тепловой энергии</t>
  </si>
  <si>
    <t>Медицинское освидетельствование водителей</t>
  </si>
  <si>
    <t>Гигиеническое обучение, лабораторно-производственный контроль, паразитологическое исследование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</si>
  <si>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</si>
  <si>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</si>
  <si>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</si>
  <si>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</si>
  <si>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</si>
  <si>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Зап.части для транспортного средства</t>
  </si>
  <si>
    <t>Выплаты по больничным листам</t>
  </si>
  <si>
    <t>Компенсация дополнительных расходов, связанных с проживанием вне места постоянного проживания (суточные)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</si>
  <si>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</si>
  <si>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</si>
  <si>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</si>
  <si>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</si>
  <si>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</si>
  <si>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</si>
  <si>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</si>
  <si>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</si>
  <si>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</si>
  <si>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</si>
  <si>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</si>
  <si>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</si>
  <si>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</si>
  <si>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</si>
  <si>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</si>
  <si>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</si>
  <si>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</si>
  <si>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ст.222</t>
  </si>
  <si>
    <t>ст.223</t>
  </si>
  <si>
    <t>ст.225</t>
  </si>
  <si>
    <t>ст.226</t>
  </si>
  <si>
    <t>ст.227</t>
  </si>
  <si>
    <t>ст.340</t>
  </si>
  <si>
    <t>Технический осмотр транспортного средства</t>
  </si>
  <si>
    <t>ИЦ</t>
  </si>
  <si>
    <t>ст.341</t>
  </si>
  <si>
    <t>ст.342</t>
  </si>
  <si>
    <t>ст.343</t>
  </si>
  <si>
    <t>ст.344</t>
  </si>
  <si>
    <t>ст.346</t>
  </si>
  <si>
    <t>ст.349</t>
  </si>
  <si>
    <t xml:space="preserve">МЗ </t>
  </si>
  <si>
    <t>Комиссия банка</t>
  </si>
  <si>
    <t>ВР 113</t>
  </si>
  <si>
    <t>Директор</t>
  </si>
  <si>
    <t>ВР 851</t>
  </si>
  <si>
    <t>ВР 852</t>
  </si>
  <si>
    <t>ВР 853</t>
  </si>
  <si>
    <t>ВР</t>
  </si>
  <si>
    <t>ВСЕГО</t>
  </si>
  <si>
    <t>Педагогические работники ОУ</t>
  </si>
  <si>
    <t>Педагогические работники ДОУ</t>
  </si>
  <si>
    <t>Установленная среднесписочная численность, (единиц)</t>
  </si>
  <si>
    <t>МЗ субв. ОУ</t>
  </si>
  <si>
    <t>МЗ субв.ДОУ</t>
  </si>
  <si>
    <t>МЗ мест. ОУ</t>
  </si>
  <si>
    <t>МЗ мест.ДОУ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</si>
  <si>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</si>
  <si>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</si>
  <si>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</si>
  <si>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остаток</t>
  </si>
  <si>
    <t>Приобретение продуктов питания СОШ</t>
  </si>
  <si>
    <t>Приобретение продуктов питания ДОУ</t>
  </si>
  <si>
    <t>Х</t>
  </si>
  <si>
    <t>Н.Б.Мусакаева</t>
  </si>
  <si>
    <t>Раздел 1. Поступления и выплаты</t>
  </si>
  <si>
    <t>Оплата услуг предоставления газа</t>
  </si>
  <si>
    <t>Компенсация дополнительных расходов, связанных с проживанием вне места постоянного проживания (проезд,проживание)</t>
  </si>
  <si>
    <t>5.7. Расчет (обоснование) расходов на услуги, работы для целей капитальных вложений</t>
  </si>
  <si>
    <t>5.8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</si>
  <si>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</si>
  <si>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из них:                                                                                       гранты, предоставляемые бюджетным учреждениям</t>
  </si>
  <si>
    <t>гранты, предоставляемые автономным учреждениям</t>
  </si>
  <si>
    <t>2420</t>
  </si>
  <si>
    <t>1.3.1.</t>
  </si>
  <si>
    <t>в том числе: в соответствии с Федеральным законом №44-ФЗ</t>
  </si>
  <si>
    <t>26310</t>
  </si>
  <si>
    <t>из них с Федеральным законом №223-ФЗ</t>
  </si>
  <si>
    <t>из них по Указам Президента РФ от 07.05.2018г. №204</t>
  </si>
  <si>
    <t>26310.1</t>
  </si>
  <si>
    <t>26421.1</t>
  </si>
  <si>
    <t>26430.1</t>
  </si>
  <si>
    <t>26451.1</t>
  </si>
  <si>
    <t>МЗ</t>
  </si>
  <si>
    <t>ПД</t>
  </si>
  <si>
    <t>итого</t>
  </si>
  <si>
    <t>За услуги хостинга</t>
  </si>
  <si>
    <t xml:space="preserve">Обучение приемам оказания первой помощи пострадавшим </t>
  </si>
  <si>
    <t>Иные цели</t>
  </si>
  <si>
    <t>Организация и проведение мероприятий по профилактике терроризма и экстремизма</t>
  </si>
  <si>
    <t>Приобретение рециркулятора бактерицидного</t>
  </si>
  <si>
    <t>244.</t>
  </si>
  <si>
    <t>4.7.</t>
  </si>
  <si>
    <t>иц</t>
  </si>
  <si>
    <t>Дератизация, дезинфекция</t>
  </si>
  <si>
    <t>4.9.</t>
  </si>
  <si>
    <t>Переподготовка по программе ПДД</t>
  </si>
  <si>
    <t>Заключение санитарно-эпидемиологической оценки</t>
  </si>
  <si>
    <t>взносы по обязательное социальное страхование в части выплат персоналу, подлежащих обложению страховыми взносами</t>
  </si>
  <si>
    <t>2143</t>
  </si>
  <si>
    <t>закупка энергетических ресурсов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</si>
  <si>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</si>
  <si>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</si>
  <si>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</si>
  <si>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</si>
  <si>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2650</t>
  </si>
  <si>
    <t>26310.2</t>
  </si>
  <si>
    <t>Оплата услуг водоснабжения</t>
  </si>
  <si>
    <t>Ремонт транспортных средств</t>
  </si>
  <si>
    <t xml:space="preserve">Приобретение оборудования освещения </t>
  </si>
  <si>
    <t>остаток на 01.01.2022г</t>
  </si>
  <si>
    <t>Приобретение прочих материальных запасов(тонер, катридж)</t>
  </si>
  <si>
    <t>Муниципальное бюджетное общеобразовательное учреждение «Гамалеевская средняя общеобразовательная школа №2 имени Н.С. Трубина» Сорочинского городского округа Оренбургской области</t>
  </si>
  <si>
    <t>Муниципальное бюджетное общеобразовательное учреждение «Гамалеевская средняя общеобразовательная школа №2 имени Н.С.Трубина» Сорочинского городского округа Оренбургской области</t>
  </si>
  <si>
    <t>Оплата услуг по вывозу ТКО</t>
  </si>
  <si>
    <t>Разработка проетно-сметной документации</t>
  </si>
  <si>
    <t>Госпошлина</t>
  </si>
  <si>
    <t>Проведение капитального ремонта здания МБОУ "Гамалеевская СОШ №2"</t>
  </si>
  <si>
    <t>Обучение</t>
  </si>
  <si>
    <t>Посуда</t>
  </si>
  <si>
    <t>ст 347</t>
  </si>
  <si>
    <t>Услуги стройконтроля</t>
  </si>
  <si>
    <t>Гос экспертиза проектной документации в части проверки достоверности определения сметной стоимости обьекта</t>
  </si>
  <si>
    <t>на 2024 г. (первый год планового периода)</t>
  </si>
  <si>
    <t>на 2025 г. (второй год планового периода)</t>
  </si>
  <si>
    <t>Модернизация установка и техническое обслуживание систем видеонаблюдения</t>
  </si>
  <si>
    <t>Разширение дверных проемов,установка противопожарных дверей</t>
  </si>
  <si>
    <t>Установка противопожарных дверей и люков</t>
  </si>
  <si>
    <t>Модернизация,установка техническое обслуживание систем видеонаблюдения</t>
  </si>
  <si>
    <t>Ремонт транспортного средства</t>
  </si>
  <si>
    <t>Прочие</t>
  </si>
  <si>
    <t>Сертификаты</t>
  </si>
  <si>
    <t>Кап.ремонт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</si>
  <si>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экономист </t>
    </r>
  </si>
  <si>
    <t xml:space="preserve">                         (должность)                                                                                                                                        (расшифровка подписи, телефон)</t>
  </si>
  <si>
    <t xml:space="preserve">                                         Т.В.Федорова</t>
  </si>
  <si>
    <t>Аттестаты</t>
  </si>
  <si>
    <t>Заместитель главы администрации городского округа по социальным вопросам - начальник Управления образования</t>
  </si>
  <si>
    <t>Приобретение строительных материалов</t>
  </si>
  <si>
    <t>5.</t>
  </si>
  <si>
    <t>Канцтовары,бумага</t>
  </si>
  <si>
    <t>Классные журналы</t>
  </si>
  <si>
    <t>5.1.</t>
  </si>
  <si>
    <t>5.2.</t>
  </si>
  <si>
    <t>5.3.</t>
  </si>
  <si>
    <t>5.4.</t>
  </si>
  <si>
    <t>5.5.</t>
  </si>
  <si>
    <t>5.6.</t>
  </si>
  <si>
    <t>Компенсация затрат</t>
  </si>
  <si>
    <t>Оплата услуг водоотведения и вывоз жидких бытовых отходов при отсутствии центральной системы канализации</t>
  </si>
  <si>
    <t>Страхование атс.</t>
  </si>
  <si>
    <t>5.7.</t>
  </si>
  <si>
    <t>Подарки</t>
  </si>
  <si>
    <t>Куркина Т.В. 8(35346)4-26-53</t>
  </si>
  <si>
    <t>«___»   ______________ 2024 г.</t>
  </si>
  <si>
    <t>(на 2024 г. и плановый период 2025 и 2026 годов)</t>
  </si>
  <si>
    <t>на 2026 г. (второй год планового периода)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</si>
  <si>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общеобразовательного учреждения «Гамалеевская средняя общеобразовательная школа №2» Сорочинского городского округа Оренбургской области на 2024 год</t>
  </si>
  <si>
    <t>Приобретение квалифицированных сертификатов</t>
  </si>
  <si>
    <t>ТО ГЛОНАСС</t>
  </si>
  <si>
    <t>Поверка приборов учета энергоресурсов</t>
  </si>
  <si>
    <t>Техническое обслуживание автоматических установок противопожарных установок(ТО ПАК "Стрелец-мониторинг")</t>
  </si>
  <si>
    <t>Пюржавель</t>
  </si>
  <si>
    <t>Замена ГЛОНАСС</t>
  </si>
  <si>
    <t>План финансово-хозяйственной деятельности на 2024 г.</t>
  </si>
  <si>
    <t>от "01" января  2024 г.</t>
  </si>
  <si>
    <t>"____" ______________ 2024г.</t>
  </si>
  <si>
    <t>"___" ____________ 2024 г.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</si>
</sst>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0.0"/>
  </numFmts>
  <fonts count="23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color theme="8" tint="-0.499984740745262"/>
      <name val="Times New Roman"/>
      <family val="1"/>
      <charset val="204"/>
    </font>
    <font>
      <sz val="12"/>
      <color theme="8" tint="-0.499984740745262"/>
      <name val="Calibri"/>
      <family val="2"/>
      <charset val="204"/>
      <scheme val="minor"/>
    </font>
    <font>
      <sz val="11"/>
      <color theme="8" tint="-0.49998474074526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</cellStyleXfs>
  <cellXfs count="300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5" fontId="1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vertical="center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6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vertical="top" wrapText="1"/>
    </xf>
    <xf numFmtId="0" fontId="11" fillId="2" borderId="3" xfId="0" applyFont="1" applyFill="1" applyBorder="1" applyAlignment="1">
      <alignment vertical="top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2" fontId="11" fillId="2" borderId="1" xfId="0" applyNumberFormat="1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6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165" fontId="1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0" fontId="1" fillId="0" borderId="1" xfId="0" applyFont="1" applyBorder="1" applyAlignment="1">
      <alignment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0" fontId="17" fillId="0" borderId="1" xfId="0" applyFont="1" applyBorder="1"/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" fillId="0" borderId="1" xfId="0" applyNumberFormat="1" applyFont="1" applyBorder="1" applyAlignment="1">
      <alignment horizontal="center" vertical="center"/>
    </xf>
    <xf numFmtId="2" fontId="1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/>
    <xf numFmtId="2" fontId="11" fillId="2" borderId="1" xfId="7" applyNumberFormat="1" applyFont="1" applyFill="1" applyBorder="1" applyAlignment="1" applyProtection="1">
      <alignment horizontal="center" vertical="center"/>
      <protection hidden="1"/>
    </xf>
    <xf numFmtId="2" fontId="11" fillId="2" borderId="1" xfId="8" applyNumberFormat="1" applyFont="1" applyFill="1" applyBorder="1" applyAlignment="1" applyProtection="1">
      <alignment horizontal="center" vertical="center"/>
      <protection hidden="1"/>
    </xf>
    <xf numFmtId="2" fontId="11" fillId="2" borderId="1" xfId="9" applyNumberFormat="1" applyFont="1" applyFill="1" applyBorder="1" applyAlignment="1" applyProtection="1">
      <alignment horizontal="center" vertical="center"/>
      <protection hidden="1"/>
    </xf>
    <xf numFmtId="2" fontId="11" fillId="2" borderId="1" xfId="4" applyNumberFormat="1" applyFont="1" applyFill="1" applyBorder="1" applyAlignment="1" applyProtection="1">
      <alignment horizontal="center" vertical="center"/>
      <protection hidden="1"/>
    </xf>
    <xf numFmtId="2" fontId="11" fillId="2" borderId="1" xfId="5" applyNumberFormat="1" applyFont="1" applyFill="1" applyBorder="1" applyAlignment="1" applyProtection="1">
      <alignment horizontal="center" vertical="center"/>
      <protection hidden="1"/>
    </xf>
    <xf numFmtId="2" fontId="1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left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13" xfId="0" applyFont="1" applyBorder="1" applyAlignment="1">
      <alignment vertical="center" wrapText="1"/>
    </xf>
    <xf numFmtId="165" fontId="1" fillId="2" borderId="0" xfId="0" applyNumberFormat="1" applyFont="1" applyFill="1"/>
    <xf numFmtId="165" fontId="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2" fontId="21" fillId="2" borderId="1" xfId="0" applyNumberFormat="1" applyFont="1" applyFill="1" applyBorder="1"/>
    <xf numFmtId="0" fontId="1" fillId="0" borderId="10" xfId="0" applyFont="1" applyFill="1" applyBorder="1" applyAlignment="1"/>
    <xf numFmtId="0" fontId="0" fillId="0" borderId="0" xfId="0" applyAlignment="1">
      <alignment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2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left" vertical="top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2" fontId="16" fillId="2" borderId="2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Alignment="1">
      <alignment horizontal="center"/>
    </xf>
    <xf numFmtId="0" fontId="0" fillId="2" borderId="0" xfId="0" applyFill="1" applyBorder="1"/>
    <xf numFmtId="0" fontId="20" fillId="2" borderId="1" xfId="0" applyFont="1" applyFill="1" applyBorder="1"/>
    <xf numFmtId="165" fontId="20" fillId="2" borderId="1" xfId="0" applyNumberFormat="1" applyFont="1" applyFill="1" applyBorder="1" applyAlignment="1">
      <alignment horizontal="right"/>
    </xf>
    <xf numFmtId="0" fontId="21" fillId="2" borderId="1" xfId="0" applyFont="1" applyFill="1" applyBorder="1"/>
    <xf numFmtId="0" fontId="1" fillId="2" borderId="7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justify" wrapText="1"/>
    </xf>
    <xf numFmtId="0" fontId="5" fillId="2" borderId="0" xfId="0" applyFont="1" applyFill="1" applyAlignment="1">
      <alignment vertical="center" wrapText="1"/>
    </xf>
    <xf numFmtId="0" fontId="1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0" fontId="5" fillId="2" borderId="0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vertical="top" wrapText="1"/>
    </xf>
    <xf numFmtId="2" fontId="1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vertical="center" wrapText="1"/>
    </xf>
    <xf numFmtId="0" fontId="22" fillId="2" borderId="0" xfId="0" applyFont="1" applyFill="1"/>
    <xf numFmtId="0" fontId="0" fillId="2" borderId="1" xfId="0" applyFill="1" applyBorder="1"/>
    <xf numFmtId="2" fontId="21" fillId="2" borderId="0" xfId="0" applyNumberFormat="1" applyFont="1" applyFill="1"/>
    <xf numFmtId="2" fontId="21" fillId="2" borderId="0" xfId="0" applyNumberFormat="1" applyFont="1" applyFill="1" applyAlignment="1">
      <alignment horizontal="right"/>
    </xf>
    <xf numFmtId="0" fontId="21" fillId="2" borderId="0" xfId="0" applyFont="1" applyFill="1"/>
    <xf numFmtId="165" fontId="21" fillId="2" borderId="0" xfId="0" applyNumberFormat="1" applyFont="1" applyFill="1"/>
    <xf numFmtId="0" fontId="5" fillId="2" borderId="1" xfId="0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2" fontId="11" fillId="2" borderId="2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top" wrapText="1"/>
    </xf>
    <xf numFmtId="165" fontId="17" fillId="2" borderId="0" xfId="0" applyNumberFormat="1" applyFont="1" applyFill="1" applyAlignment="1">
      <alignment horizontal="right"/>
    </xf>
    <xf numFmtId="165" fontId="17" fillId="2" borderId="0" xfId="0" applyNumberFormat="1" applyFont="1" applyFill="1"/>
    <xf numFmtId="2" fontId="17" fillId="2" borderId="0" xfId="0" applyNumberFormat="1" applyFont="1" applyFill="1"/>
    <xf numFmtId="0" fontId="1" fillId="2" borderId="0" xfId="0" applyFont="1" applyFill="1" applyBorder="1"/>
    <xf numFmtId="0" fontId="11" fillId="2" borderId="7" xfId="0" applyFont="1" applyFill="1" applyBorder="1" applyAlignment="1">
      <alignment vertical="center" wrapText="1"/>
    </xf>
    <xf numFmtId="2" fontId="1" fillId="2" borderId="0" xfId="0" applyNumberFormat="1" applyFont="1" applyFill="1"/>
    <xf numFmtId="2" fontId="17" fillId="2" borderId="0" xfId="0" applyNumberFormat="1" applyFont="1" applyFill="1" applyAlignment="1">
      <alignment horizontal="right"/>
    </xf>
    <xf numFmtId="0" fontId="11" fillId="2" borderId="15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top" wrapText="1"/>
    </xf>
    <xf numFmtId="0" fontId="0" fillId="2" borderId="0" xfId="0" applyFill="1" applyAlignment="1">
      <alignment horizontal="right"/>
    </xf>
    <xf numFmtId="165" fontId="11" fillId="2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left" vertical="center" wrapText="1"/>
    </xf>
    <xf numFmtId="2" fontId="20" fillId="2" borderId="1" xfId="0" applyNumberFormat="1" applyFont="1" applyFill="1" applyBorder="1"/>
    <xf numFmtId="0" fontId="1" fillId="0" borderId="1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16" fillId="2" borderId="2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wrapText="1"/>
    </xf>
    <xf numFmtId="0" fontId="5" fillId="2" borderId="0" xfId="0" applyFont="1" applyFill="1" applyAlignment="1">
      <alignment horizont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1" fillId="2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165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1" fillId="2" borderId="1" xfId="2" applyFont="1" applyFill="1" applyBorder="1" applyAlignment="1" applyProtection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1" fillId="2" borderId="6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3" xfId="2" applyFont="1" applyFill="1" applyBorder="1" applyAlignment="1" applyProtection="1">
      <alignment horizontal="center" vertical="top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wrapText="1"/>
    </xf>
    <xf numFmtId="2" fontId="16" fillId="2" borderId="2" xfId="0" applyNumberFormat="1" applyFont="1" applyFill="1" applyBorder="1" applyAlignment="1">
      <alignment horizontal="center" vertical="center" wrapText="1"/>
    </xf>
    <xf numFmtId="2" fontId="16" fillId="2" borderId="3" xfId="0" applyNumberFormat="1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</cellXfs>
  <cellStyles count="10">
    <cellStyle name="Гиперссылка" xfId="2" builtinId="8"/>
    <cellStyle name="Обычный" xfId="0" builtinId="0"/>
    <cellStyle name="Обычный 2" xfId="1"/>
    <cellStyle name="Обычный 2 2" xfId="4"/>
    <cellStyle name="Обычный 2 3" xfId="5"/>
    <cellStyle name="Обычный 2 4" xfId="6"/>
    <cellStyle name="Обычный 2 5" xfId="7"/>
    <cellStyle name="Обычный 2 6" xfId="8"/>
    <cellStyle name="Обычный 2 7" xfId="9"/>
    <cellStyle name="Финансовый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view="pageBreakPreview" topLeftCell="B1" zoomScale="80" zoomScaleSheetLayoutView="80" workbookViewId="0">
      <selection activeCell="M16" sqref="M16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215" t="s">
        <v>0</v>
      </c>
      <c r="I1" s="215"/>
    </row>
    <row r="2" spans="1:9" ht="15.75">
      <c r="A2" s="2"/>
      <c r="B2" s="2"/>
      <c r="C2" s="2"/>
      <c r="D2" s="2"/>
      <c r="E2" s="2"/>
      <c r="F2" s="2"/>
      <c r="G2" s="211" t="s">
        <v>318</v>
      </c>
      <c r="H2" s="211"/>
      <c r="I2" s="211"/>
    </row>
    <row r="3" spans="1:9" ht="13.5" customHeight="1">
      <c r="A3" s="2"/>
      <c r="B3" s="2"/>
      <c r="C3" s="2"/>
      <c r="D3" s="2"/>
      <c r="E3" s="2"/>
      <c r="F3" s="2"/>
      <c r="G3" s="212" t="s">
        <v>38</v>
      </c>
      <c r="H3" s="212"/>
      <c r="I3" s="212"/>
    </row>
    <row r="4" spans="1:9" ht="63.75" customHeight="1">
      <c r="A4" s="2"/>
      <c r="B4" s="2"/>
      <c r="C4" s="2"/>
      <c r="D4" s="2"/>
      <c r="E4" s="2"/>
      <c r="F4" s="2"/>
      <c r="G4" s="213" t="s">
        <v>386</v>
      </c>
      <c r="H4" s="213"/>
      <c r="I4" s="213"/>
    </row>
    <row r="5" spans="1:9" ht="9.6" customHeight="1">
      <c r="A5" s="2"/>
      <c r="B5" s="2"/>
      <c r="C5" s="2"/>
      <c r="D5" s="2"/>
      <c r="E5" s="2"/>
      <c r="F5" s="2"/>
      <c r="G5" s="214" t="s">
        <v>39</v>
      </c>
      <c r="H5" s="214"/>
      <c r="I5" s="214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338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428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216" t="s">
        <v>438</v>
      </c>
      <c r="C10" s="216"/>
      <c r="D10" s="216"/>
      <c r="E10" s="216"/>
      <c r="F10" s="216"/>
      <c r="G10" s="216"/>
      <c r="H10" s="216"/>
      <c r="I10" s="2"/>
    </row>
    <row r="11" spans="1:9" ht="15.75">
      <c r="A11" s="2"/>
      <c r="B11" s="216" t="s">
        <v>429</v>
      </c>
      <c r="C11" s="216"/>
      <c r="D11" s="216"/>
      <c r="E11" s="216"/>
      <c r="F11" s="216"/>
      <c r="G11" s="216"/>
      <c r="H11" s="216"/>
      <c r="I11" s="24"/>
    </row>
    <row r="12" spans="1:9" ht="15.75">
      <c r="A12" s="2"/>
      <c r="B12" s="2"/>
      <c r="C12" s="2"/>
      <c r="D12" s="2"/>
      <c r="E12" s="4"/>
      <c r="F12" s="2"/>
      <c r="G12" s="2"/>
      <c r="H12" s="2"/>
      <c r="I12" s="24"/>
    </row>
    <row r="13" spans="1:9" ht="15.75">
      <c r="A13" s="2"/>
      <c r="B13" s="217" t="s">
        <v>439</v>
      </c>
      <c r="C13" s="217"/>
      <c r="D13" s="217"/>
      <c r="E13" s="217"/>
      <c r="F13" s="217"/>
      <c r="G13" s="217"/>
      <c r="H13" s="217"/>
      <c r="I13" s="123" t="s">
        <v>17</v>
      </c>
    </row>
    <row r="14" spans="1:9" ht="15.75">
      <c r="A14" s="2"/>
      <c r="B14" s="124"/>
      <c r="C14" s="124"/>
      <c r="D14" s="124"/>
      <c r="E14" s="124"/>
      <c r="F14" s="124"/>
      <c r="G14" s="124"/>
      <c r="H14" s="125" t="s">
        <v>16</v>
      </c>
      <c r="I14" s="126">
        <v>45292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1" t="s">
        <v>41</v>
      </c>
      <c r="I15" s="15"/>
    </row>
    <row r="16" spans="1:9" ht="55.5" customHeight="1">
      <c r="A16" s="209" t="s">
        <v>1</v>
      </c>
      <c r="B16" s="209"/>
      <c r="C16" s="209"/>
      <c r="D16" s="210" t="s">
        <v>242</v>
      </c>
      <c r="E16" s="210"/>
      <c r="F16" s="210"/>
      <c r="G16" s="210"/>
      <c r="H16" s="22" t="s">
        <v>42</v>
      </c>
      <c r="I16" s="8">
        <v>771</v>
      </c>
    </row>
    <row r="17" spans="1:9" ht="22.5" customHeight="1">
      <c r="A17" s="17"/>
      <c r="B17" s="17"/>
      <c r="C17" s="17"/>
      <c r="D17" s="17"/>
      <c r="E17" s="19"/>
      <c r="F17" s="19"/>
      <c r="G17" s="19"/>
      <c r="H17" s="21" t="s">
        <v>41</v>
      </c>
      <c r="I17" s="9"/>
    </row>
    <row r="18" spans="1:9" ht="20.25" customHeight="1">
      <c r="A18" s="17"/>
      <c r="B18" s="17"/>
      <c r="C18" s="17"/>
      <c r="D18" s="17"/>
      <c r="E18" s="18"/>
      <c r="F18" s="19"/>
      <c r="G18" s="19"/>
      <c r="H18" s="20" t="s">
        <v>43</v>
      </c>
      <c r="I18" s="2">
        <v>5647005397</v>
      </c>
    </row>
    <row r="19" spans="1:9" ht="91.5" customHeight="1">
      <c r="A19" s="209" t="s">
        <v>46</v>
      </c>
      <c r="B19" s="209"/>
      <c r="C19" s="209"/>
      <c r="D19" s="210" t="s">
        <v>387</v>
      </c>
      <c r="E19" s="210"/>
      <c r="F19" s="210"/>
      <c r="G19" s="210"/>
      <c r="H19" s="20" t="s">
        <v>44</v>
      </c>
      <c r="I19" s="75">
        <v>564701001</v>
      </c>
    </row>
    <row r="20" spans="1:9" ht="24" customHeight="1">
      <c r="A20" s="209" t="s">
        <v>45</v>
      </c>
      <c r="B20" s="209"/>
      <c r="C20" s="209"/>
      <c r="D20" s="209"/>
      <c r="E20" s="23"/>
      <c r="F20" s="23"/>
      <c r="G20" s="23"/>
      <c r="H20" s="22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H1:I1"/>
    <mergeCell ref="B10:H10"/>
    <mergeCell ref="B11:H11"/>
    <mergeCell ref="B13:H13"/>
    <mergeCell ref="A16:C16"/>
    <mergeCell ref="D16:G16"/>
    <mergeCell ref="A20:D20"/>
    <mergeCell ref="A19:C19"/>
    <mergeCell ref="D19:G19"/>
    <mergeCell ref="G2:I2"/>
    <mergeCell ref="G3:I3"/>
    <mergeCell ref="G4:I4"/>
    <mergeCell ref="G5:I5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72"/>
  <sheetViews>
    <sheetView tabSelected="1" view="pageBreakPreview" topLeftCell="A10" zoomScale="70" zoomScaleNormal="90" zoomScaleSheetLayoutView="70" workbookViewId="0">
      <selection activeCell="D60" sqref="D60"/>
    </sheetView>
  </sheetViews>
  <sheetFormatPr defaultRowHeight="15"/>
  <cols>
    <col min="1" max="1" width="47.28515625" customWidth="1"/>
    <col min="3" max="3" width="18.140625" customWidth="1"/>
    <col min="4" max="4" width="15.85546875" customWidth="1"/>
    <col min="5" max="5" width="15.140625" customWidth="1"/>
    <col min="6" max="6" width="14.7109375" customWidth="1"/>
    <col min="7" max="7" width="16.7109375" customWidth="1"/>
    <col min="8" max="8" width="12" bestFit="1" customWidth="1"/>
  </cols>
  <sheetData>
    <row r="1" spans="1:8">
      <c r="D1" s="97">
        <f>D11-D31</f>
        <v>-145439.39999999851</v>
      </c>
      <c r="E1" s="97">
        <f>E11-E31</f>
        <v>0</v>
      </c>
      <c r="F1" s="97">
        <f t="shared" ref="F1" si="0">F11-F31</f>
        <v>0</v>
      </c>
    </row>
    <row r="2" spans="1:8">
      <c r="D2" t="b">
        <f>D11+D9-D10=D31</f>
        <v>1</v>
      </c>
      <c r="E2" t="b">
        <f t="shared" ref="E2:F2" si="1">E11=E31</f>
        <v>1</v>
      </c>
      <c r="F2" t="b">
        <f t="shared" si="1"/>
        <v>1</v>
      </c>
    </row>
    <row r="4" spans="1:8" ht="15.75">
      <c r="B4" s="215" t="s">
        <v>339</v>
      </c>
      <c r="C4" s="215"/>
      <c r="D4" s="215"/>
      <c r="E4" s="215"/>
    </row>
    <row r="5" spans="1:8" ht="15.75">
      <c r="A5" s="12"/>
    </row>
    <row r="6" spans="1:8" ht="33.75" customHeight="1">
      <c r="A6" s="218" t="s">
        <v>3</v>
      </c>
      <c r="B6" s="218" t="s">
        <v>5</v>
      </c>
      <c r="C6" s="218" t="s">
        <v>6</v>
      </c>
      <c r="D6" s="218" t="s">
        <v>47</v>
      </c>
      <c r="E6" s="218"/>
      <c r="F6" s="218"/>
      <c r="G6" s="218"/>
      <c r="H6" s="11"/>
    </row>
    <row r="7" spans="1:8" ht="111" customHeight="1">
      <c r="A7" s="218"/>
      <c r="B7" s="218"/>
      <c r="C7" s="218"/>
      <c r="D7" s="207" t="s">
        <v>397</v>
      </c>
      <c r="E7" s="207" t="s">
        <v>398</v>
      </c>
      <c r="F7" s="207" t="s">
        <v>430</v>
      </c>
      <c r="G7" s="44" t="s">
        <v>48</v>
      </c>
      <c r="H7" s="11"/>
    </row>
    <row r="8" spans="1:8" ht="15.75">
      <c r="A8" s="31">
        <v>1</v>
      </c>
      <c r="B8" s="31">
        <v>2</v>
      </c>
      <c r="C8" s="31">
        <v>3</v>
      </c>
      <c r="D8" s="31">
        <v>4</v>
      </c>
      <c r="E8" s="31">
        <v>5</v>
      </c>
      <c r="F8" s="31">
        <v>6</v>
      </c>
      <c r="G8" s="31">
        <v>7</v>
      </c>
      <c r="H8" s="11"/>
    </row>
    <row r="9" spans="1:8" ht="31.5">
      <c r="A9" s="39" t="s">
        <v>49</v>
      </c>
      <c r="B9" s="33" t="s">
        <v>57</v>
      </c>
      <c r="C9" s="27" t="s">
        <v>12</v>
      </c>
      <c r="D9" s="30">
        <v>145439.4</v>
      </c>
      <c r="E9" s="30">
        <v>0</v>
      </c>
      <c r="F9" s="30">
        <v>0</v>
      </c>
      <c r="G9" s="95">
        <v>0</v>
      </c>
      <c r="H9" s="16"/>
    </row>
    <row r="10" spans="1:8" ht="31.5">
      <c r="A10" s="39" t="s">
        <v>50</v>
      </c>
      <c r="B10" s="33" t="s">
        <v>58</v>
      </c>
      <c r="C10" s="27" t="s">
        <v>12</v>
      </c>
      <c r="D10" s="30">
        <f>D9+D11-D31</f>
        <v>0</v>
      </c>
      <c r="E10" s="89">
        <f>E9+E11-E31</f>
        <v>0</v>
      </c>
      <c r="F10" s="89">
        <f t="shared" ref="F10:G10" si="2">F9+F11-F31</f>
        <v>0</v>
      </c>
      <c r="G10" s="30">
        <f t="shared" si="2"/>
        <v>0</v>
      </c>
      <c r="H10" s="16"/>
    </row>
    <row r="11" spans="1:8" ht="22.5" customHeight="1">
      <c r="A11" s="45" t="s">
        <v>51</v>
      </c>
      <c r="B11" s="33" t="s">
        <v>59</v>
      </c>
      <c r="C11" s="27"/>
      <c r="D11" s="30">
        <f>D12+D14+D17+D19+D24+D26+D30</f>
        <v>24744457.09</v>
      </c>
      <c r="E11" s="30">
        <f>E12+E14+E17+E19+E24+E26+E30</f>
        <v>21755002.850000001</v>
      </c>
      <c r="F11" s="30">
        <f>F12+F14+F17+F19+F24+F26+F30</f>
        <v>22760053.039999999</v>
      </c>
      <c r="G11" s="30">
        <v>0</v>
      </c>
      <c r="H11" s="7"/>
    </row>
    <row r="12" spans="1:8" ht="36" customHeight="1">
      <c r="A12" s="9" t="s">
        <v>52</v>
      </c>
      <c r="B12" s="33" t="s">
        <v>60</v>
      </c>
      <c r="C12" s="46">
        <v>120</v>
      </c>
      <c r="D12" s="14"/>
      <c r="E12" s="14"/>
      <c r="F12" s="14"/>
      <c r="G12" s="14"/>
      <c r="H12" s="6"/>
    </row>
    <row r="13" spans="1:8" ht="21" customHeight="1">
      <c r="A13" s="9" t="s">
        <v>64</v>
      </c>
      <c r="B13" s="33" t="s">
        <v>61</v>
      </c>
      <c r="C13" s="46"/>
      <c r="D13" s="14"/>
      <c r="E13" s="14"/>
      <c r="F13" s="14"/>
      <c r="G13" s="94"/>
      <c r="H13" s="6"/>
    </row>
    <row r="14" spans="1:8" ht="41.25" customHeight="1">
      <c r="A14" s="9" t="s">
        <v>331</v>
      </c>
      <c r="B14" s="33" t="s">
        <v>62</v>
      </c>
      <c r="C14" s="44">
        <v>130</v>
      </c>
      <c r="D14" s="30">
        <f>D15+D16</f>
        <v>23505310.699999999</v>
      </c>
      <c r="E14" s="30">
        <f t="shared" ref="E14:G14" si="3">E15+E16</f>
        <v>20914743.120000001</v>
      </c>
      <c r="F14" s="30">
        <f t="shared" si="3"/>
        <v>21927085.219999999</v>
      </c>
      <c r="G14" s="30">
        <f t="shared" si="3"/>
        <v>0</v>
      </c>
      <c r="H14" s="7"/>
    </row>
    <row r="15" spans="1:8" ht="69.75" customHeight="1">
      <c r="A15" s="9" t="s">
        <v>53</v>
      </c>
      <c r="B15" s="33" t="s">
        <v>63</v>
      </c>
      <c r="C15" s="44">
        <v>130</v>
      </c>
      <c r="D15" s="105">
        <v>22545200.620000001</v>
      </c>
      <c r="E15" s="106">
        <v>20864743.120000001</v>
      </c>
      <c r="F15" s="107">
        <v>21877085.219999999</v>
      </c>
      <c r="G15" s="94"/>
      <c r="H15" s="7"/>
    </row>
    <row r="16" spans="1:8" s="53" customFormat="1" ht="57" customHeight="1">
      <c r="A16" s="71" t="s">
        <v>332</v>
      </c>
      <c r="B16" s="72" t="s">
        <v>333</v>
      </c>
      <c r="C16" s="75">
        <v>130</v>
      </c>
      <c r="D16" s="108">
        <v>960110.07999999996</v>
      </c>
      <c r="E16" s="109">
        <v>50000</v>
      </c>
      <c r="F16" s="107">
        <v>50000</v>
      </c>
      <c r="G16" s="75"/>
      <c r="H16" s="76"/>
    </row>
    <row r="17" spans="1:8" ht="36" customHeight="1">
      <c r="A17" s="9" t="s">
        <v>54</v>
      </c>
      <c r="B17" s="33" t="s">
        <v>65</v>
      </c>
      <c r="C17" s="44">
        <v>140</v>
      </c>
      <c r="D17" s="14"/>
      <c r="E17" s="14"/>
      <c r="F17" s="14"/>
      <c r="G17" s="14"/>
      <c r="H17" s="6"/>
    </row>
    <row r="18" spans="1:8" ht="20.25" customHeight="1">
      <c r="A18" s="9" t="s">
        <v>55</v>
      </c>
      <c r="B18" s="33" t="s">
        <v>66</v>
      </c>
      <c r="C18" s="46">
        <v>140</v>
      </c>
      <c r="D18" s="14"/>
      <c r="E18" s="14"/>
      <c r="F18" s="14"/>
      <c r="G18" s="94"/>
      <c r="H18" s="6"/>
    </row>
    <row r="19" spans="1:8" ht="20.25" customHeight="1">
      <c r="A19" s="9" t="s">
        <v>56</v>
      </c>
      <c r="B19" s="33" t="s">
        <v>67</v>
      </c>
      <c r="C19" s="44">
        <v>150</v>
      </c>
      <c r="D19" s="30">
        <f>SUM(D20:D21)</f>
        <v>1239146.3899999999</v>
      </c>
      <c r="E19" s="30">
        <f t="shared" ref="E19:G19" si="4">SUM(E20:E21)</f>
        <v>840259.73</v>
      </c>
      <c r="F19" s="30">
        <f t="shared" si="4"/>
        <v>832967.82</v>
      </c>
      <c r="G19" s="30">
        <f t="shared" si="4"/>
        <v>0</v>
      </c>
      <c r="H19" s="6"/>
    </row>
    <row r="20" spans="1:8" ht="36" customHeight="1">
      <c r="A20" s="71" t="s">
        <v>68</v>
      </c>
      <c r="B20" s="33" t="s">
        <v>69</v>
      </c>
      <c r="C20" s="44">
        <v>150</v>
      </c>
      <c r="D20" s="14">
        <v>1239146.3899999999</v>
      </c>
      <c r="E20" s="74">
        <v>840259.73</v>
      </c>
      <c r="F20" s="74">
        <v>832967.82</v>
      </c>
      <c r="G20" s="94"/>
      <c r="H20" s="6"/>
    </row>
    <row r="21" spans="1:8" ht="36" customHeight="1">
      <c r="A21" s="9" t="s">
        <v>8</v>
      </c>
      <c r="B21" s="33" t="s">
        <v>70</v>
      </c>
      <c r="C21" s="44">
        <v>150</v>
      </c>
      <c r="D21" s="14"/>
      <c r="E21" s="14"/>
      <c r="F21" s="14"/>
      <c r="G21" s="94"/>
      <c r="H21" s="6"/>
    </row>
    <row r="22" spans="1:8" ht="20.25" hidden="1" customHeight="1">
      <c r="A22" s="9"/>
      <c r="B22" s="33"/>
      <c r="C22" s="94">
        <v>150</v>
      </c>
      <c r="D22" s="14"/>
      <c r="E22" s="14"/>
      <c r="F22" s="14"/>
      <c r="G22" s="94"/>
      <c r="H22" s="6"/>
    </row>
    <row r="23" spans="1:8" ht="20.25" hidden="1" customHeight="1">
      <c r="A23" s="9"/>
      <c r="B23" s="33"/>
      <c r="C23" s="94">
        <v>150</v>
      </c>
      <c r="D23" s="14"/>
      <c r="E23" s="14"/>
      <c r="F23" s="14"/>
      <c r="G23" s="94"/>
      <c r="H23" s="6"/>
    </row>
    <row r="24" spans="1:8" ht="18" customHeight="1">
      <c r="A24" s="9" t="s">
        <v>71</v>
      </c>
      <c r="B24" s="33" t="s">
        <v>72</v>
      </c>
      <c r="C24" s="44">
        <v>180</v>
      </c>
      <c r="D24" s="14"/>
      <c r="E24" s="14"/>
      <c r="F24" s="14"/>
      <c r="G24" s="14"/>
      <c r="H24" s="7"/>
    </row>
    <row r="25" spans="1:8" ht="18.75" customHeight="1">
      <c r="A25" s="9" t="s">
        <v>64</v>
      </c>
      <c r="B25" s="33" t="s">
        <v>73</v>
      </c>
      <c r="C25" s="46">
        <v>180</v>
      </c>
      <c r="D25" s="14"/>
      <c r="E25" s="14"/>
      <c r="F25" s="14"/>
      <c r="G25" s="94"/>
      <c r="H25" s="6"/>
    </row>
    <row r="26" spans="1:8" ht="19.5" customHeight="1">
      <c r="A26" s="9" t="s">
        <v>74</v>
      </c>
      <c r="B26" s="33" t="s">
        <v>75</v>
      </c>
      <c r="C26" s="44">
        <v>400</v>
      </c>
      <c r="D26" s="14"/>
      <c r="E26" s="14"/>
      <c r="F26" s="14"/>
      <c r="G26" s="14"/>
      <c r="H26" s="6"/>
    </row>
    <row r="27" spans="1:8" ht="18.75" customHeight="1">
      <c r="A27" s="9" t="s">
        <v>64</v>
      </c>
      <c r="B27" s="33" t="s">
        <v>76</v>
      </c>
      <c r="C27" s="46">
        <v>400</v>
      </c>
      <c r="D27" s="14"/>
      <c r="E27" s="14"/>
      <c r="F27" s="14"/>
      <c r="G27" s="94"/>
      <c r="H27" s="6"/>
    </row>
    <row r="28" spans="1:8" ht="18.75" hidden="1" customHeight="1">
      <c r="A28" s="9"/>
      <c r="B28" s="33" t="s">
        <v>77</v>
      </c>
      <c r="C28" s="46">
        <v>400</v>
      </c>
      <c r="D28" s="14"/>
      <c r="E28" s="14"/>
      <c r="F28" s="14"/>
      <c r="G28" s="94"/>
      <c r="H28" s="6"/>
    </row>
    <row r="29" spans="1:8" ht="18.75" customHeight="1">
      <c r="A29" s="9" t="s">
        <v>78</v>
      </c>
      <c r="B29" s="33" t="s">
        <v>79</v>
      </c>
      <c r="C29" s="46">
        <v>500</v>
      </c>
      <c r="D29" s="30"/>
      <c r="E29" s="14"/>
      <c r="F29" s="14"/>
      <c r="G29" s="14" t="str">
        <f t="shared" ref="G29" si="5">G30</f>
        <v>х</v>
      </c>
      <c r="H29" s="6"/>
    </row>
    <row r="30" spans="1:8" ht="66.75" customHeight="1">
      <c r="A30" s="9" t="s">
        <v>80</v>
      </c>
      <c r="B30" s="33" t="s">
        <v>81</v>
      </c>
      <c r="C30" s="46">
        <v>510</v>
      </c>
      <c r="D30" s="14"/>
      <c r="E30" s="14"/>
      <c r="F30" s="14"/>
      <c r="G30" s="94" t="s">
        <v>12</v>
      </c>
      <c r="H30" s="6"/>
    </row>
    <row r="31" spans="1:8" s="10" customFormat="1" ht="20.25" customHeight="1">
      <c r="A31" s="45" t="s">
        <v>82</v>
      </c>
      <c r="B31" s="33" t="s">
        <v>83</v>
      </c>
      <c r="C31" s="27" t="s">
        <v>12</v>
      </c>
      <c r="D31" s="30">
        <f>D33+D34+D35+D36+D40+D46+D57</f>
        <v>24889896.489999998</v>
      </c>
      <c r="E31" s="30">
        <f>E33+E34+E35+E36+E40+E46+E57</f>
        <v>21755002.850000001</v>
      </c>
      <c r="F31" s="30">
        <f t="shared" ref="F31" si="6">F33+F34+F35+F36+F40+F46+F57</f>
        <v>22760053.039999999</v>
      </c>
      <c r="G31" s="30"/>
      <c r="H31" s="13"/>
    </row>
    <row r="32" spans="1:8" ht="33" customHeight="1">
      <c r="A32" s="9" t="s">
        <v>84</v>
      </c>
      <c r="B32" s="33" t="s">
        <v>85</v>
      </c>
      <c r="C32" s="44" t="s">
        <v>12</v>
      </c>
      <c r="D32" s="14">
        <f>D33+D34+D35+D37</f>
        <v>19921346.719999999</v>
      </c>
      <c r="E32" s="14">
        <f t="shared" ref="E32:F32" si="7">E33+E34+E35+E37</f>
        <v>19908046.640000001</v>
      </c>
      <c r="F32" s="14">
        <f t="shared" si="7"/>
        <v>19908046.640000001</v>
      </c>
      <c r="G32" s="94" t="s">
        <v>12</v>
      </c>
      <c r="H32" s="7"/>
    </row>
    <row r="33" spans="1:9" ht="33" customHeight="1">
      <c r="A33" s="9" t="s">
        <v>86</v>
      </c>
      <c r="B33" s="33" t="s">
        <v>87</v>
      </c>
      <c r="C33" s="44">
        <v>111</v>
      </c>
      <c r="D33" s="74">
        <v>15335018.039999999</v>
      </c>
      <c r="E33" s="74">
        <v>15324918</v>
      </c>
      <c r="F33" s="74">
        <v>15324918</v>
      </c>
      <c r="G33" s="94" t="s">
        <v>12</v>
      </c>
      <c r="H33" s="7"/>
    </row>
    <row r="34" spans="1:9" ht="38.25" customHeight="1">
      <c r="A34" s="37" t="s">
        <v>88</v>
      </c>
      <c r="B34" s="33" t="s">
        <v>89</v>
      </c>
      <c r="C34" s="44">
        <v>112</v>
      </c>
      <c r="D34" s="14"/>
      <c r="E34" s="14"/>
      <c r="F34" s="14"/>
      <c r="G34" s="94" t="s">
        <v>12</v>
      </c>
      <c r="H34" s="7"/>
    </row>
    <row r="35" spans="1:9" ht="47.25">
      <c r="A35" s="37" t="s">
        <v>90</v>
      </c>
      <c r="B35" s="36">
        <v>2130</v>
      </c>
      <c r="C35" s="38">
        <v>113</v>
      </c>
      <c r="D35" s="41"/>
      <c r="E35" s="41"/>
      <c r="F35" s="41"/>
      <c r="G35" s="94" t="s">
        <v>12</v>
      </c>
    </row>
    <row r="36" spans="1:9" ht="68.25" customHeight="1">
      <c r="A36" s="37" t="s">
        <v>91</v>
      </c>
      <c r="B36" s="33" t="s">
        <v>92</v>
      </c>
      <c r="C36" s="44" t="s">
        <v>13</v>
      </c>
      <c r="D36" s="30">
        <f>SUM(D37:D38)</f>
        <v>4586328.68</v>
      </c>
      <c r="E36" s="30">
        <f t="shared" ref="E36:F36" si="8">SUM(E37:E38)</f>
        <v>4583128.6399999997</v>
      </c>
      <c r="F36" s="30">
        <f t="shared" si="8"/>
        <v>4583128.6399999997</v>
      </c>
      <c r="G36" s="94" t="s">
        <v>12</v>
      </c>
      <c r="H36" s="7"/>
    </row>
    <row r="37" spans="1:9" s="53" customFormat="1" ht="33" customHeight="1">
      <c r="A37" s="71" t="s">
        <v>93</v>
      </c>
      <c r="B37" s="72" t="s">
        <v>94</v>
      </c>
      <c r="C37" s="75">
        <v>119</v>
      </c>
      <c r="D37" s="74">
        <v>4586328.68</v>
      </c>
      <c r="E37" s="74">
        <v>4583128.6399999997</v>
      </c>
      <c r="F37" s="74">
        <v>4583128.6399999997</v>
      </c>
      <c r="G37" s="75" t="s">
        <v>12</v>
      </c>
      <c r="H37" s="76"/>
    </row>
    <row r="38" spans="1:9" s="53" customFormat="1" ht="16.5" customHeight="1">
      <c r="A38" s="71" t="s">
        <v>95</v>
      </c>
      <c r="B38" s="72" t="s">
        <v>96</v>
      </c>
      <c r="C38" s="75">
        <v>119</v>
      </c>
      <c r="D38" s="74"/>
      <c r="E38" s="74"/>
      <c r="F38" s="74"/>
      <c r="G38" s="75"/>
      <c r="H38" s="76"/>
    </row>
    <row r="39" spans="1:9" s="53" customFormat="1" ht="16.5" customHeight="1">
      <c r="A39" s="71" t="s">
        <v>372</v>
      </c>
      <c r="B39" s="72" t="s">
        <v>373</v>
      </c>
      <c r="C39" s="75">
        <v>139</v>
      </c>
      <c r="D39" s="74"/>
      <c r="E39" s="74"/>
      <c r="F39" s="74"/>
      <c r="G39" s="75"/>
      <c r="H39" s="76"/>
    </row>
    <row r="40" spans="1:9" ht="18.75" customHeight="1">
      <c r="A40" s="9" t="s">
        <v>10</v>
      </c>
      <c r="B40" s="33" t="s">
        <v>97</v>
      </c>
      <c r="C40" s="44">
        <v>300</v>
      </c>
      <c r="D40" s="14"/>
      <c r="E40" s="14"/>
      <c r="F40" s="14"/>
      <c r="G40" s="94" t="s">
        <v>12</v>
      </c>
      <c r="H40" s="7"/>
    </row>
    <row r="41" spans="1:9" s="53" customFormat="1" ht="50.25" customHeight="1">
      <c r="A41" s="71" t="s">
        <v>98</v>
      </c>
      <c r="B41" s="72" t="s">
        <v>99</v>
      </c>
      <c r="C41" s="73" t="s">
        <v>100</v>
      </c>
      <c r="D41" s="74"/>
      <c r="E41" s="74"/>
      <c r="F41" s="74"/>
      <c r="G41" s="75" t="s">
        <v>12</v>
      </c>
      <c r="H41" s="76"/>
    </row>
    <row r="42" spans="1:9" s="53" customFormat="1" ht="68.25" customHeight="1">
      <c r="A42" s="71" t="s">
        <v>101</v>
      </c>
      <c r="B42" s="72" t="s">
        <v>102</v>
      </c>
      <c r="C42" s="73" t="s">
        <v>103</v>
      </c>
      <c r="D42" s="74"/>
      <c r="E42" s="74"/>
      <c r="F42" s="74"/>
      <c r="G42" s="75" t="s">
        <v>12</v>
      </c>
      <c r="H42" s="76"/>
    </row>
    <row r="43" spans="1:9" s="53" customFormat="1" ht="20.25" customHeight="1">
      <c r="A43" s="71" t="s">
        <v>267</v>
      </c>
      <c r="B43" s="72" t="s">
        <v>104</v>
      </c>
      <c r="C43" s="73" t="s">
        <v>105</v>
      </c>
      <c r="D43" s="74"/>
      <c r="E43" s="74"/>
      <c r="F43" s="74"/>
      <c r="G43" s="75" t="s">
        <v>12</v>
      </c>
      <c r="H43" s="76"/>
    </row>
    <row r="44" spans="1:9" s="53" customFormat="1" ht="84.75" customHeight="1">
      <c r="A44" s="71" t="s">
        <v>106</v>
      </c>
      <c r="B44" s="72" t="s">
        <v>107</v>
      </c>
      <c r="C44" s="75">
        <v>350</v>
      </c>
      <c r="D44" s="74"/>
      <c r="E44" s="74"/>
      <c r="F44" s="74"/>
      <c r="G44" s="75" t="s">
        <v>12</v>
      </c>
      <c r="H44" s="77"/>
      <c r="I44" s="78"/>
    </row>
    <row r="45" spans="1:9" s="53" customFormat="1" ht="21" customHeight="1">
      <c r="A45" s="71" t="s">
        <v>108</v>
      </c>
      <c r="B45" s="72" t="s">
        <v>109</v>
      </c>
      <c r="C45" s="75">
        <v>360</v>
      </c>
      <c r="D45" s="74"/>
      <c r="E45" s="74"/>
      <c r="F45" s="74"/>
      <c r="G45" s="75" t="s">
        <v>12</v>
      </c>
      <c r="H45" s="77"/>
      <c r="I45" s="78"/>
    </row>
    <row r="46" spans="1:9" ht="21" customHeight="1">
      <c r="A46" s="37" t="s">
        <v>110</v>
      </c>
      <c r="B46" s="33" t="s">
        <v>111</v>
      </c>
      <c r="C46" s="44">
        <v>850</v>
      </c>
      <c r="D46" s="30">
        <f>SUM(D47:D49)</f>
        <v>122000</v>
      </c>
      <c r="E46" s="30">
        <f t="shared" ref="E46:F46" si="9">SUM(E47:E49)</f>
        <v>0</v>
      </c>
      <c r="F46" s="30">
        <f t="shared" si="9"/>
        <v>0</v>
      </c>
      <c r="G46" s="94" t="s">
        <v>12</v>
      </c>
      <c r="H46" s="7"/>
    </row>
    <row r="47" spans="1:9" ht="47.25" customHeight="1">
      <c r="A47" s="9" t="s">
        <v>268</v>
      </c>
      <c r="B47" s="33" t="s">
        <v>112</v>
      </c>
      <c r="C47" s="44">
        <v>851</v>
      </c>
      <c r="D47" s="14">
        <v>122000</v>
      </c>
      <c r="E47" s="14">
        <v>0</v>
      </c>
      <c r="F47" s="14">
        <v>0</v>
      </c>
      <c r="G47" s="94" t="s">
        <v>12</v>
      </c>
      <c r="H47" s="7"/>
    </row>
    <row r="48" spans="1:9" ht="51.75" customHeight="1">
      <c r="A48" s="9" t="s">
        <v>113</v>
      </c>
      <c r="B48" s="33" t="s">
        <v>114</v>
      </c>
      <c r="C48" s="44">
        <v>852</v>
      </c>
      <c r="D48" s="14">
        <v>0</v>
      </c>
      <c r="E48" s="14"/>
      <c r="F48" s="14"/>
      <c r="G48" s="94" t="s">
        <v>12</v>
      </c>
      <c r="H48" s="7"/>
    </row>
    <row r="49" spans="1:8" ht="34.5" customHeight="1">
      <c r="A49" s="9" t="s">
        <v>115</v>
      </c>
      <c r="B49" s="33" t="s">
        <v>116</v>
      </c>
      <c r="C49" s="44">
        <v>853</v>
      </c>
      <c r="D49" s="14">
        <v>0</v>
      </c>
      <c r="E49" s="14"/>
      <c r="F49" s="14"/>
      <c r="G49" s="94" t="s">
        <v>12</v>
      </c>
      <c r="H49" s="7"/>
    </row>
    <row r="50" spans="1:8" s="53" customFormat="1" ht="31.5">
      <c r="A50" s="71" t="s">
        <v>117</v>
      </c>
      <c r="B50" s="72" t="s">
        <v>118</v>
      </c>
      <c r="C50" s="75" t="s">
        <v>12</v>
      </c>
      <c r="D50" s="74"/>
      <c r="E50" s="74"/>
      <c r="F50" s="74"/>
      <c r="G50" s="75" t="s">
        <v>12</v>
      </c>
      <c r="H50" s="76"/>
    </row>
    <row r="51" spans="1:8" s="53" customFormat="1" ht="47.25" customHeight="1">
      <c r="A51" s="71" t="s">
        <v>345</v>
      </c>
      <c r="B51" s="72" t="s">
        <v>119</v>
      </c>
      <c r="C51" s="75">
        <v>613</v>
      </c>
      <c r="D51" s="74"/>
      <c r="E51" s="74"/>
      <c r="F51" s="74"/>
      <c r="G51" s="75" t="s">
        <v>12</v>
      </c>
      <c r="H51" s="76"/>
    </row>
    <row r="52" spans="1:8" s="53" customFormat="1" ht="47.25" customHeight="1">
      <c r="A52" s="71" t="s">
        <v>346</v>
      </c>
      <c r="B52" s="72" t="s">
        <v>347</v>
      </c>
      <c r="C52" s="75">
        <v>623</v>
      </c>
      <c r="D52" s="74"/>
      <c r="E52" s="74"/>
      <c r="F52" s="74"/>
      <c r="G52" s="75"/>
      <c r="H52" s="76"/>
    </row>
    <row r="53" spans="1:8" s="53" customFormat="1" ht="47.25" customHeight="1">
      <c r="A53" s="79" t="s">
        <v>375</v>
      </c>
      <c r="B53" s="72" t="s">
        <v>376</v>
      </c>
      <c r="C53" s="75">
        <v>634</v>
      </c>
      <c r="D53" s="74"/>
      <c r="E53" s="74"/>
      <c r="F53" s="74"/>
      <c r="G53" s="75"/>
      <c r="H53" s="76"/>
    </row>
    <row r="54" spans="1:8" s="53" customFormat="1" ht="47.25" customHeight="1">
      <c r="A54" s="79" t="s">
        <v>377</v>
      </c>
      <c r="B54" s="72" t="s">
        <v>378</v>
      </c>
      <c r="C54" s="75">
        <v>810</v>
      </c>
      <c r="D54" s="74"/>
      <c r="E54" s="74"/>
      <c r="F54" s="74"/>
      <c r="G54" s="75" t="s">
        <v>12</v>
      </c>
      <c r="H54" s="76"/>
    </row>
    <row r="55" spans="1:8" ht="35.25" customHeight="1">
      <c r="A55" s="9" t="s">
        <v>120</v>
      </c>
      <c r="B55" s="33" t="s">
        <v>121</v>
      </c>
      <c r="C55" s="44" t="s">
        <v>12</v>
      </c>
      <c r="D55" s="14"/>
      <c r="E55" s="14"/>
      <c r="F55" s="14"/>
      <c r="G55" s="94" t="s">
        <v>12</v>
      </c>
      <c r="H55" s="7"/>
    </row>
    <row r="56" spans="1:8" ht="68.25" customHeight="1">
      <c r="A56" s="9" t="s">
        <v>122</v>
      </c>
      <c r="B56" s="33" t="s">
        <v>123</v>
      </c>
      <c r="C56" s="44">
        <v>831</v>
      </c>
      <c r="D56" s="14"/>
      <c r="E56" s="14"/>
      <c r="F56" s="14"/>
      <c r="G56" s="14" t="s">
        <v>12</v>
      </c>
      <c r="H56" s="7"/>
    </row>
    <row r="57" spans="1:8" ht="33" customHeight="1">
      <c r="A57" s="37" t="s">
        <v>124</v>
      </c>
      <c r="B57" s="33" t="s">
        <v>125</v>
      </c>
      <c r="C57" s="44" t="s">
        <v>12</v>
      </c>
      <c r="D57" s="30">
        <f>SUM(D58:D61)</f>
        <v>4846549.7699999996</v>
      </c>
      <c r="E57" s="30">
        <f>SUM(E58:E61)</f>
        <v>1846956.21</v>
      </c>
      <c r="F57" s="30">
        <f>SUM(F58:F61)</f>
        <v>2852006.4000000004</v>
      </c>
      <c r="G57" s="30">
        <f>SUM(G58:G61)</f>
        <v>0</v>
      </c>
      <c r="H57" s="7"/>
    </row>
    <row r="58" spans="1:8" s="53" customFormat="1" ht="47.25">
      <c r="A58" s="79" t="s">
        <v>126</v>
      </c>
      <c r="B58" s="80">
        <v>2610</v>
      </c>
      <c r="C58" s="81">
        <v>241</v>
      </c>
      <c r="D58" s="110"/>
      <c r="E58" s="110"/>
      <c r="F58" s="110"/>
      <c r="G58" s="81"/>
    </row>
    <row r="59" spans="1:8" ht="38.25" customHeight="1">
      <c r="A59" s="37" t="s">
        <v>127</v>
      </c>
      <c r="B59" s="36">
        <v>2630</v>
      </c>
      <c r="C59" s="38">
        <v>243</v>
      </c>
      <c r="D59" s="41">
        <v>0</v>
      </c>
      <c r="E59" s="41"/>
      <c r="F59" s="41"/>
      <c r="G59" s="38"/>
    </row>
    <row r="60" spans="1:8" ht="22.5" customHeight="1">
      <c r="A60" s="37" t="s">
        <v>128</v>
      </c>
      <c r="B60" s="36">
        <v>2640</v>
      </c>
      <c r="C60" s="38">
        <v>244</v>
      </c>
      <c r="D60" s="41">
        <v>3343959.17</v>
      </c>
      <c r="E60" s="110">
        <v>1284415.21</v>
      </c>
      <c r="F60" s="110">
        <v>1277123.3</v>
      </c>
      <c r="G60" s="101"/>
    </row>
    <row r="61" spans="1:8" ht="18.75" customHeight="1">
      <c r="A61" s="9" t="s">
        <v>374</v>
      </c>
      <c r="B61" s="33" t="s">
        <v>379</v>
      </c>
      <c r="C61" s="46">
        <v>247</v>
      </c>
      <c r="D61" s="14">
        <v>1502590.6</v>
      </c>
      <c r="E61" s="14">
        <v>562541</v>
      </c>
      <c r="F61" s="14">
        <v>1574883.1</v>
      </c>
      <c r="G61" s="94"/>
      <c r="H61" s="6"/>
    </row>
    <row r="62" spans="1:8" ht="38.25" customHeight="1">
      <c r="A62" s="37" t="s">
        <v>129</v>
      </c>
      <c r="B62" s="36">
        <v>2660</v>
      </c>
      <c r="C62" s="38">
        <v>400</v>
      </c>
      <c r="D62" s="41"/>
      <c r="E62" s="41"/>
      <c r="F62" s="41"/>
      <c r="G62" s="41"/>
    </row>
    <row r="63" spans="1:8" ht="49.5" customHeight="1">
      <c r="A63" s="37" t="s">
        <v>130</v>
      </c>
      <c r="B63" s="36">
        <v>2661</v>
      </c>
      <c r="C63" s="38">
        <v>406</v>
      </c>
      <c r="D63" s="41"/>
      <c r="E63" s="41"/>
      <c r="F63" s="41"/>
      <c r="G63" s="38"/>
    </row>
    <row r="64" spans="1:8" ht="49.5" customHeight="1">
      <c r="A64" s="37" t="s">
        <v>131</v>
      </c>
      <c r="B64" s="36">
        <v>2662</v>
      </c>
      <c r="C64" s="38">
        <v>407</v>
      </c>
      <c r="D64" s="41"/>
      <c r="E64" s="41"/>
      <c r="F64" s="41"/>
      <c r="G64" s="38"/>
    </row>
    <row r="65" spans="1:8" ht="19.5" customHeight="1">
      <c r="A65" s="39" t="s">
        <v>132</v>
      </c>
      <c r="B65" s="36">
        <v>3000</v>
      </c>
      <c r="C65" s="40" t="s">
        <v>12</v>
      </c>
      <c r="D65" s="42"/>
      <c r="E65" s="42"/>
      <c r="F65" s="42"/>
      <c r="G65" s="40" t="s">
        <v>12</v>
      </c>
    </row>
    <row r="66" spans="1:8" ht="31.5">
      <c r="A66" s="37" t="s">
        <v>133</v>
      </c>
      <c r="B66" s="36">
        <v>3010</v>
      </c>
      <c r="C66" s="38"/>
      <c r="D66" s="38"/>
      <c r="E66" s="38"/>
      <c r="F66" s="38"/>
      <c r="G66" s="38" t="s">
        <v>12</v>
      </c>
    </row>
    <row r="67" spans="1:8" ht="20.25" customHeight="1">
      <c r="A67" s="37" t="s">
        <v>134</v>
      </c>
      <c r="B67" s="36">
        <v>3020</v>
      </c>
      <c r="C67" s="38"/>
      <c r="D67" s="38"/>
      <c r="E67" s="38"/>
      <c r="F67" s="38"/>
      <c r="G67" s="38" t="s">
        <v>12</v>
      </c>
    </row>
    <row r="68" spans="1:8" ht="17.25" customHeight="1">
      <c r="A68" s="37" t="s">
        <v>135</v>
      </c>
      <c r="B68" s="36">
        <v>3030</v>
      </c>
      <c r="C68" s="38"/>
      <c r="D68" s="38"/>
      <c r="E68" s="38"/>
      <c r="F68" s="38"/>
      <c r="G68" s="38" t="s">
        <v>12</v>
      </c>
    </row>
    <row r="69" spans="1:8" ht="19.5" customHeight="1">
      <c r="A69" s="39" t="s">
        <v>136</v>
      </c>
      <c r="B69" s="36">
        <v>4000</v>
      </c>
      <c r="C69" s="40" t="s">
        <v>12</v>
      </c>
      <c r="D69" s="42"/>
      <c r="E69" s="42"/>
      <c r="F69" s="42"/>
      <c r="G69" s="40" t="s">
        <v>12</v>
      </c>
    </row>
    <row r="70" spans="1:8" ht="35.25" customHeight="1">
      <c r="A70" s="9" t="s">
        <v>137</v>
      </c>
      <c r="B70" s="33" t="s">
        <v>138</v>
      </c>
      <c r="C70" s="44">
        <v>610</v>
      </c>
      <c r="D70" s="94"/>
      <c r="E70" s="94"/>
      <c r="F70" s="94"/>
      <c r="G70" s="94" t="s">
        <v>12</v>
      </c>
      <c r="H70" s="7"/>
    </row>
    <row r="71" spans="1:8" ht="15.75">
      <c r="A71" s="82"/>
      <c r="B71" s="35"/>
      <c r="C71" s="35"/>
      <c r="D71" s="98"/>
      <c r="E71" s="98"/>
      <c r="F71" s="98"/>
      <c r="G71" s="98"/>
    </row>
    <row r="72" spans="1:8" ht="15.75">
      <c r="A72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J61"/>
  <sheetViews>
    <sheetView view="pageBreakPreview" zoomScale="60" zoomScaleNormal="90" workbookViewId="0">
      <selection activeCell="F16" sqref="F16"/>
    </sheetView>
  </sheetViews>
  <sheetFormatPr defaultRowHeight="15"/>
  <cols>
    <col min="1" max="1" width="6.5703125" customWidth="1"/>
    <col min="2" max="2" width="48.28515625" customWidth="1"/>
    <col min="4" max="5" width="13.28515625" customWidth="1"/>
    <col min="6" max="6" width="15.85546875" customWidth="1"/>
    <col min="7" max="7" width="15.140625" customWidth="1"/>
    <col min="8" max="8" width="14.7109375" customWidth="1"/>
    <col min="9" max="9" width="16.7109375" customWidth="1"/>
    <col min="10" max="10" width="12" bestFit="1" customWidth="1"/>
  </cols>
  <sheetData>
    <row r="1" spans="1:10">
      <c r="F1" t="b">
        <f>F7=F14</f>
        <v>1</v>
      </c>
      <c r="G1" t="b">
        <f t="shared" ref="G1:H1" si="0">G7=G14</f>
        <v>1</v>
      </c>
      <c r="H1" t="b">
        <f t="shared" si="0"/>
        <v>1</v>
      </c>
    </row>
    <row r="2" spans="1:10">
      <c r="F2" t="b">
        <f>F14=F15+F18+F24</f>
        <v>1</v>
      </c>
      <c r="G2" t="b">
        <f>G14=G15+G18+G24</f>
        <v>1</v>
      </c>
      <c r="H2" t="b">
        <f t="shared" ref="H2" si="1">H14=H15+H18+H24</f>
        <v>1</v>
      </c>
    </row>
    <row r="3" spans="1:10" ht="15.75">
      <c r="B3" s="215" t="s">
        <v>139</v>
      </c>
      <c r="C3" s="215"/>
      <c r="D3" s="215"/>
      <c r="E3" s="215"/>
      <c r="F3" s="215"/>
      <c r="G3" s="215"/>
      <c r="H3" s="215"/>
      <c r="I3" s="215"/>
    </row>
    <row r="4" spans="1:10" ht="24" customHeight="1">
      <c r="A4" s="219" t="s">
        <v>140</v>
      </c>
      <c r="B4" s="219" t="s">
        <v>3</v>
      </c>
      <c r="C4" s="218" t="s">
        <v>5</v>
      </c>
      <c r="D4" s="218" t="s">
        <v>11</v>
      </c>
      <c r="E4" s="219" t="s">
        <v>6</v>
      </c>
      <c r="F4" s="221" t="s">
        <v>47</v>
      </c>
      <c r="G4" s="222"/>
      <c r="H4" s="222"/>
      <c r="I4" s="222"/>
      <c r="J4" s="16"/>
    </row>
    <row r="5" spans="1:10" ht="82.5" customHeight="1">
      <c r="A5" s="220"/>
      <c r="B5" s="220"/>
      <c r="C5" s="218"/>
      <c r="D5" s="218"/>
      <c r="E5" s="220"/>
      <c r="F5" s="207" t="s">
        <v>397</v>
      </c>
      <c r="G5" s="207" t="s">
        <v>398</v>
      </c>
      <c r="H5" s="207" t="s">
        <v>430</v>
      </c>
      <c r="I5" s="25" t="s">
        <v>48</v>
      </c>
      <c r="J5" s="16"/>
    </row>
    <row r="6" spans="1:10" ht="15.75">
      <c r="A6" s="31">
        <v>1</v>
      </c>
      <c r="B6" s="31">
        <v>2</v>
      </c>
      <c r="C6" s="31">
        <v>3</v>
      </c>
      <c r="D6" s="31">
        <v>4</v>
      </c>
      <c r="E6" s="31">
        <v>5</v>
      </c>
      <c r="F6" s="31">
        <v>6</v>
      </c>
      <c r="G6" s="31">
        <v>7</v>
      </c>
      <c r="H6" s="31">
        <v>8</v>
      </c>
      <c r="I6" s="31">
        <v>9</v>
      </c>
      <c r="J6" s="16"/>
    </row>
    <row r="7" spans="1:10" ht="31.5">
      <c r="A7" s="36">
        <v>1</v>
      </c>
      <c r="B7" s="32" t="s">
        <v>141</v>
      </c>
      <c r="C7" s="33" t="s">
        <v>142</v>
      </c>
      <c r="D7" s="8" t="s">
        <v>12</v>
      </c>
      <c r="E7" s="121" t="s">
        <v>12</v>
      </c>
      <c r="F7" s="14">
        <f>'Раздел 1'!D57</f>
        <v>4846549.7699999996</v>
      </c>
      <c r="G7" s="14">
        <f>'Раздел 1'!E57</f>
        <v>1846956.21</v>
      </c>
      <c r="H7" s="14">
        <f>'Раздел 1'!F57</f>
        <v>2852006.4000000004</v>
      </c>
      <c r="I7" s="51">
        <f>'Раздел 1'!G60</f>
        <v>0</v>
      </c>
      <c r="J7" s="16"/>
    </row>
    <row r="8" spans="1:10" ht="189" customHeight="1">
      <c r="A8" s="36" t="s">
        <v>27</v>
      </c>
      <c r="B8" s="32" t="s">
        <v>143</v>
      </c>
      <c r="C8" s="33" t="s">
        <v>144</v>
      </c>
      <c r="D8" s="8" t="s">
        <v>12</v>
      </c>
      <c r="E8" s="121" t="s">
        <v>12</v>
      </c>
      <c r="F8" s="31"/>
      <c r="G8" s="31"/>
      <c r="H8" s="31"/>
      <c r="I8" s="31"/>
      <c r="J8" s="16"/>
    </row>
    <row r="9" spans="1:10" ht="70.5" customHeight="1">
      <c r="A9" s="36" t="s">
        <v>28</v>
      </c>
      <c r="B9" s="29" t="s">
        <v>145</v>
      </c>
      <c r="C9" s="33" t="s">
        <v>146</v>
      </c>
      <c r="D9" s="8" t="s">
        <v>12</v>
      </c>
      <c r="E9" s="121" t="s">
        <v>12</v>
      </c>
      <c r="F9" s="14"/>
      <c r="G9" s="14"/>
      <c r="H9" s="14"/>
      <c r="I9" s="14"/>
      <c r="J9" s="7"/>
    </row>
    <row r="10" spans="1:10" ht="69.75" customHeight="1">
      <c r="A10" s="36" t="s">
        <v>29</v>
      </c>
      <c r="B10" s="29" t="s">
        <v>147</v>
      </c>
      <c r="C10" s="34" t="s">
        <v>148</v>
      </c>
      <c r="D10" s="28" t="s">
        <v>12</v>
      </c>
      <c r="E10" s="115"/>
      <c r="F10" s="26">
        <v>0</v>
      </c>
      <c r="G10" s="26">
        <v>0</v>
      </c>
      <c r="H10" s="26">
        <v>0</v>
      </c>
      <c r="I10" s="26"/>
      <c r="J10" s="6"/>
    </row>
    <row r="11" spans="1:10" ht="38.25" customHeight="1">
      <c r="A11" s="36" t="s">
        <v>348</v>
      </c>
      <c r="B11" s="29" t="s">
        <v>349</v>
      </c>
      <c r="C11" s="34" t="s">
        <v>350</v>
      </c>
      <c r="D11" s="28" t="s">
        <v>12</v>
      </c>
      <c r="E11" s="115"/>
      <c r="F11" s="26"/>
      <c r="G11" s="26"/>
      <c r="H11" s="26"/>
      <c r="I11" s="26"/>
      <c r="J11" s="6"/>
    </row>
    <row r="12" spans="1:10" ht="32.25" customHeight="1">
      <c r="A12" s="36"/>
      <c r="B12" s="88" t="s">
        <v>352</v>
      </c>
      <c r="C12" s="122" t="s">
        <v>353</v>
      </c>
      <c r="D12" s="28" t="s">
        <v>12</v>
      </c>
      <c r="E12" s="35"/>
      <c r="F12" s="26"/>
      <c r="G12" s="26"/>
      <c r="H12" s="26"/>
      <c r="I12" s="26"/>
      <c r="J12" s="6"/>
    </row>
    <row r="13" spans="1:10" ht="19.5" customHeight="1">
      <c r="A13" s="36"/>
      <c r="B13" s="117" t="s">
        <v>351</v>
      </c>
      <c r="C13" s="122" t="s">
        <v>380</v>
      </c>
      <c r="D13" s="28" t="s">
        <v>12</v>
      </c>
      <c r="E13" s="115"/>
      <c r="F13" s="26"/>
      <c r="G13" s="26"/>
      <c r="H13" s="26"/>
      <c r="I13" s="26"/>
      <c r="J13" s="6"/>
    </row>
    <row r="14" spans="1:10" ht="66" customHeight="1">
      <c r="A14" s="36" t="s">
        <v>149</v>
      </c>
      <c r="B14" s="29" t="s">
        <v>150</v>
      </c>
      <c r="C14" s="34" t="s">
        <v>151</v>
      </c>
      <c r="D14" s="28" t="s">
        <v>12</v>
      </c>
      <c r="E14" s="115"/>
      <c r="F14" s="26">
        <f>F15+F18+F24</f>
        <v>4846549.7699999996</v>
      </c>
      <c r="G14" s="26">
        <f t="shared" ref="G14:H14" si="2">G15+G18+G24</f>
        <v>1846956.21</v>
      </c>
      <c r="H14" s="26">
        <f t="shared" si="2"/>
        <v>2852006.4</v>
      </c>
      <c r="I14" s="25"/>
      <c r="J14" s="6"/>
    </row>
    <row r="15" spans="1:10" ht="64.5" customHeight="1">
      <c r="A15" s="36" t="s">
        <v>152</v>
      </c>
      <c r="B15" s="29" t="s">
        <v>153</v>
      </c>
      <c r="C15" s="33" t="s">
        <v>154</v>
      </c>
      <c r="D15" s="8" t="s">
        <v>12</v>
      </c>
      <c r="E15" s="112"/>
      <c r="F15" s="14">
        <v>2508200.13</v>
      </c>
      <c r="G15" s="14">
        <v>956696.48</v>
      </c>
      <c r="H15" s="14">
        <v>1969038.58</v>
      </c>
      <c r="I15" s="14"/>
      <c r="J15" s="7"/>
    </row>
    <row r="16" spans="1:10" ht="35.25" customHeight="1">
      <c r="A16" s="36" t="s">
        <v>155</v>
      </c>
      <c r="B16" s="29" t="s">
        <v>156</v>
      </c>
      <c r="C16" s="33" t="s">
        <v>157</v>
      </c>
      <c r="D16" s="8" t="s">
        <v>12</v>
      </c>
      <c r="E16" s="112"/>
      <c r="F16" s="8"/>
      <c r="G16" s="8"/>
      <c r="H16" s="8"/>
      <c r="I16" s="8"/>
      <c r="J16" s="7"/>
    </row>
    <row r="17" spans="1:10" ht="21" customHeight="1">
      <c r="A17" s="36" t="s">
        <v>158</v>
      </c>
      <c r="B17" s="29" t="s">
        <v>159</v>
      </c>
      <c r="C17" s="33" t="s">
        <v>160</v>
      </c>
      <c r="D17" s="8" t="s">
        <v>12</v>
      </c>
      <c r="E17" s="112"/>
      <c r="F17" s="14"/>
      <c r="G17" s="14"/>
      <c r="H17" s="14"/>
      <c r="I17" s="14"/>
      <c r="J17" s="6"/>
    </row>
    <row r="18" spans="1:10" ht="69.75" customHeight="1">
      <c r="A18" s="36" t="s">
        <v>161</v>
      </c>
      <c r="B18" s="29" t="s">
        <v>162</v>
      </c>
      <c r="C18" s="34" t="s">
        <v>163</v>
      </c>
      <c r="D18" s="28" t="s">
        <v>12</v>
      </c>
      <c r="E18" s="115"/>
      <c r="F18" s="26">
        <v>1238827.52</v>
      </c>
      <c r="G18" s="26">
        <v>840259.73</v>
      </c>
      <c r="H18" s="26">
        <v>832967.82</v>
      </c>
      <c r="I18" s="25"/>
      <c r="J18" s="6"/>
    </row>
    <row r="19" spans="1:10" ht="33.75" customHeight="1">
      <c r="A19" s="36" t="s">
        <v>164</v>
      </c>
      <c r="B19" s="29" t="s">
        <v>156</v>
      </c>
      <c r="C19" s="33" t="s">
        <v>165</v>
      </c>
      <c r="D19" s="8" t="s">
        <v>12</v>
      </c>
      <c r="E19" s="112"/>
      <c r="F19" s="14"/>
      <c r="G19" s="14"/>
      <c r="H19" s="14"/>
      <c r="I19" s="14"/>
      <c r="J19" s="6"/>
    </row>
    <row r="20" spans="1:10" ht="33.75" customHeight="1">
      <c r="A20" s="36"/>
      <c r="B20" s="29" t="s">
        <v>352</v>
      </c>
      <c r="C20" s="33" t="s">
        <v>354</v>
      </c>
      <c r="D20" s="112" t="s">
        <v>12</v>
      </c>
      <c r="E20" s="112"/>
      <c r="F20" s="14"/>
      <c r="G20" s="14"/>
      <c r="H20" s="14"/>
      <c r="I20" s="14"/>
      <c r="J20" s="6"/>
    </row>
    <row r="21" spans="1:10" ht="21" customHeight="1">
      <c r="A21" s="36" t="s">
        <v>166</v>
      </c>
      <c r="B21" s="29" t="s">
        <v>167</v>
      </c>
      <c r="C21" s="33" t="s">
        <v>168</v>
      </c>
      <c r="D21" s="8" t="s">
        <v>12</v>
      </c>
      <c r="E21" s="112"/>
      <c r="F21" s="8"/>
      <c r="G21" s="8"/>
      <c r="H21" s="8"/>
      <c r="I21" s="8"/>
      <c r="J21" s="6"/>
    </row>
    <row r="22" spans="1:10" ht="36" customHeight="1">
      <c r="A22" s="36" t="s">
        <v>169</v>
      </c>
      <c r="B22" s="29" t="s">
        <v>170</v>
      </c>
      <c r="C22" s="33" t="s">
        <v>171</v>
      </c>
      <c r="D22" s="8" t="s">
        <v>12</v>
      </c>
      <c r="E22" s="112"/>
      <c r="F22" s="8"/>
      <c r="G22" s="8"/>
      <c r="H22" s="8"/>
      <c r="I22" s="8"/>
      <c r="J22" s="6"/>
    </row>
    <row r="23" spans="1:10" ht="35.25" customHeight="1">
      <c r="A23" s="36"/>
      <c r="B23" s="29" t="s">
        <v>352</v>
      </c>
      <c r="C23" s="33" t="s">
        <v>355</v>
      </c>
      <c r="D23" s="112" t="s">
        <v>12</v>
      </c>
      <c r="E23" s="112"/>
      <c r="F23" s="112"/>
      <c r="G23" s="112"/>
      <c r="H23" s="112"/>
      <c r="I23" s="112"/>
      <c r="J23" s="6"/>
    </row>
    <row r="24" spans="1:10" ht="32.25" customHeight="1">
      <c r="A24" s="36" t="s">
        <v>172</v>
      </c>
      <c r="B24" s="29" t="s">
        <v>173</v>
      </c>
      <c r="C24" s="33" t="s">
        <v>174</v>
      </c>
      <c r="D24" s="8" t="s">
        <v>12</v>
      </c>
      <c r="E24" s="112"/>
      <c r="F24" s="14">
        <v>1099522.1200000001</v>
      </c>
      <c r="G24" s="14">
        <v>50000</v>
      </c>
      <c r="H24" s="14">
        <v>50000</v>
      </c>
      <c r="I24" s="14"/>
      <c r="J24" s="7"/>
    </row>
    <row r="25" spans="1:10" ht="30.75" customHeight="1">
      <c r="A25" s="36" t="s">
        <v>175</v>
      </c>
      <c r="B25" s="29" t="s">
        <v>156</v>
      </c>
      <c r="C25" s="34" t="s">
        <v>176</v>
      </c>
      <c r="D25" s="28" t="s">
        <v>12</v>
      </c>
      <c r="E25" s="115"/>
      <c r="F25" s="25"/>
      <c r="G25" s="25"/>
      <c r="H25" s="25"/>
      <c r="I25" s="25"/>
      <c r="J25" s="6"/>
    </row>
    <row r="26" spans="1:10" ht="30.75" customHeight="1">
      <c r="A26" s="36"/>
      <c r="B26" s="29" t="s">
        <v>352</v>
      </c>
      <c r="C26" s="34" t="s">
        <v>356</v>
      </c>
      <c r="D26" s="28" t="s">
        <v>12</v>
      </c>
      <c r="E26" s="115"/>
      <c r="F26" s="113"/>
      <c r="G26" s="113"/>
      <c r="H26" s="113"/>
      <c r="I26" s="113"/>
      <c r="J26" s="6"/>
    </row>
    <row r="27" spans="1:10" ht="19.5" customHeight="1">
      <c r="A27" s="36" t="s">
        <v>177</v>
      </c>
      <c r="B27" s="29" t="s">
        <v>159</v>
      </c>
      <c r="C27" s="33" t="s">
        <v>178</v>
      </c>
      <c r="D27" s="8" t="s">
        <v>12</v>
      </c>
      <c r="E27" s="112"/>
      <c r="F27" s="14"/>
      <c r="G27" s="14"/>
      <c r="H27" s="14"/>
      <c r="I27" s="14"/>
      <c r="J27" s="6"/>
    </row>
    <row r="28" spans="1:10" ht="69" customHeight="1">
      <c r="A28" s="36" t="s">
        <v>179</v>
      </c>
      <c r="B28" s="29" t="s">
        <v>180</v>
      </c>
      <c r="C28" s="34" t="s">
        <v>181</v>
      </c>
      <c r="D28" s="28" t="s">
        <v>12</v>
      </c>
      <c r="E28" s="115"/>
      <c r="F28" s="26">
        <f>F7</f>
        <v>4846549.7699999996</v>
      </c>
      <c r="G28" s="26">
        <f t="shared" ref="G28:H28" si="3">G7</f>
        <v>1846956.21</v>
      </c>
      <c r="H28" s="26">
        <f t="shared" si="3"/>
        <v>2852006.4000000004</v>
      </c>
      <c r="I28" s="25"/>
      <c r="J28" s="6"/>
    </row>
    <row r="29" spans="1:10" ht="18.75" customHeight="1">
      <c r="A29" s="36"/>
      <c r="B29" s="25" t="s">
        <v>182</v>
      </c>
      <c r="C29" s="34" t="s">
        <v>183</v>
      </c>
      <c r="D29" s="28"/>
      <c r="E29" s="115"/>
      <c r="F29" s="25"/>
      <c r="G29" s="25"/>
      <c r="H29" s="25"/>
      <c r="I29" s="25"/>
      <c r="J29" s="6"/>
    </row>
    <row r="30" spans="1:10" ht="72" customHeight="1">
      <c r="A30" s="36" t="s">
        <v>184</v>
      </c>
      <c r="B30" s="29" t="s">
        <v>185</v>
      </c>
      <c r="C30" s="34" t="s">
        <v>186</v>
      </c>
      <c r="D30" s="28" t="s">
        <v>12</v>
      </c>
      <c r="E30" s="115"/>
      <c r="F30" s="26">
        <v>0</v>
      </c>
      <c r="G30" s="26">
        <v>0</v>
      </c>
      <c r="H30" s="26">
        <v>0</v>
      </c>
      <c r="I30" s="26"/>
      <c r="J30" s="6"/>
    </row>
    <row r="31" spans="1:10" ht="20.25" customHeight="1">
      <c r="A31" s="36"/>
      <c r="B31" s="25" t="s">
        <v>182</v>
      </c>
      <c r="C31" s="34" t="s">
        <v>187</v>
      </c>
      <c r="D31" s="28"/>
      <c r="E31" s="115"/>
      <c r="F31" s="25"/>
      <c r="G31" s="25"/>
      <c r="H31" s="25"/>
      <c r="I31" s="8"/>
      <c r="J31" s="6"/>
    </row>
    <row r="32" spans="1:10" ht="15.75">
      <c r="A32" s="2"/>
      <c r="B32" s="5"/>
      <c r="C32" s="2"/>
      <c r="D32" s="2"/>
      <c r="E32" s="2"/>
      <c r="F32" s="2"/>
      <c r="G32" s="2"/>
      <c r="H32" s="2"/>
      <c r="I32" s="2"/>
    </row>
    <row r="33" spans="1:9" ht="15.75">
      <c r="A33" s="2"/>
      <c r="B33" s="5"/>
      <c r="C33" s="2"/>
      <c r="D33" s="2"/>
      <c r="E33" s="2"/>
      <c r="F33" s="2"/>
      <c r="G33" s="2"/>
      <c r="H33" s="2"/>
      <c r="I33" s="2"/>
    </row>
    <row r="34" spans="1:9" ht="15.75">
      <c r="A34" s="2"/>
      <c r="B34" s="2" t="s">
        <v>188</v>
      </c>
      <c r="C34" s="224" t="s">
        <v>338</v>
      </c>
      <c r="D34" s="224"/>
      <c r="E34" s="116"/>
      <c r="F34" s="2"/>
      <c r="G34" s="2"/>
      <c r="H34" s="2"/>
      <c r="I34" s="2"/>
    </row>
    <row r="35" spans="1:9" ht="12.75" customHeight="1">
      <c r="A35" s="2"/>
      <c r="B35" s="223" t="s">
        <v>189</v>
      </c>
      <c r="C35" s="223"/>
      <c r="D35" s="223"/>
      <c r="E35" s="114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s="103" customFormat="1" ht="15.75">
      <c r="A37" s="104"/>
      <c r="B37" s="104" t="s">
        <v>407</v>
      </c>
      <c r="F37" s="128" t="s">
        <v>427</v>
      </c>
      <c r="G37" s="128"/>
      <c r="H37" s="104"/>
      <c r="I37" s="104"/>
    </row>
    <row r="38" spans="1:9" s="103" customFormat="1" ht="15.75" customHeight="1">
      <c r="A38" s="104"/>
      <c r="B38" s="225" t="s">
        <v>408</v>
      </c>
      <c r="C38" s="225"/>
      <c r="D38" s="225"/>
      <c r="E38" s="225"/>
      <c r="F38" s="225"/>
      <c r="G38" s="225"/>
      <c r="H38" s="104"/>
      <c r="I38" s="104"/>
    </row>
    <row r="39" spans="1:9" s="103" customFormat="1" ht="15.75">
      <c r="A39" s="104"/>
      <c r="B39" s="104"/>
      <c r="C39" s="104"/>
      <c r="D39" s="104"/>
      <c r="E39" s="104"/>
      <c r="F39" s="104"/>
      <c r="G39" s="104"/>
      <c r="H39" s="104"/>
      <c r="I39" s="104"/>
    </row>
    <row r="40" spans="1:9" s="103" customFormat="1" ht="15.75">
      <c r="A40" s="104"/>
      <c r="B40" s="104" t="s">
        <v>441</v>
      </c>
      <c r="C40" s="104"/>
      <c r="D40" s="104"/>
      <c r="E40" s="104"/>
      <c r="F40" s="104"/>
      <c r="G40" s="104"/>
      <c r="H40" s="104"/>
      <c r="I40" s="104"/>
    </row>
    <row r="41" spans="1:9" s="103" customFormat="1" ht="15.75">
      <c r="A41" s="104"/>
      <c r="B41" s="104"/>
      <c r="C41" s="104"/>
      <c r="D41" s="104"/>
      <c r="E41" s="104"/>
      <c r="F41" s="104"/>
      <c r="G41" s="104"/>
      <c r="H41" s="104"/>
      <c r="I41" s="104"/>
    </row>
    <row r="42" spans="1:9" ht="15.75">
      <c r="A42" s="2"/>
      <c r="B42" s="226" t="s">
        <v>190</v>
      </c>
      <c r="C42" s="226"/>
      <c r="D42" s="226"/>
      <c r="E42" s="226"/>
      <c r="F42" s="226"/>
      <c r="G42" s="2"/>
      <c r="H42" s="2"/>
      <c r="I42" s="2"/>
    </row>
    <row r="43" spans="1:9" s="129" customFormat="1" ht="35.25" customHeight="1">
      <c r="A43" s="17"/>
      <c r="B43" s="227" t="s">
        <v>411</v>
      </c>
      <c r="C43" s="227"/>
      <c r="D43" s="227"/>
      <c r="E43" s="227"/>
      <c r="F43" s="227"/>
      <c r="G43" s="17"/>
      <c r="H43" s="17"/>
      <c r="I43" s="17"/>
    </row>
    <row r="44" spans="1:9" ht="15.75">
      <c r="A44" s="2"/>
      <c r="B44" s="228" t="s">
        <v>191</v>
      </c>
      <c r="C44" s="228"/>
      <c r="D44" s="228"/>
      <c r="E44" s="228"/>
      <c r="F44" s="228"/>
      <c r="G44" s="2"/>
      <c r="H44" s="2"/>
      <c r="I44" s="2"/>
    </row>
    <row r="45" spans="1:9" ht="15.75">
      <c r="A45" s="2"/>
      <c r="B45" s="229" t="s">
        <v>409</v>
      </c>
      <c r="C45" s="229"/>
      <c r="D45" s="229"/>
      <c r="E45" s="229"/>
      <c r="F45" s="229"/>
      <c r="G45" s="2"/>
      <c r="H45" s="2"/>
      <c r="I45" s="2"/>
    </row>
    <row r="46" spans="1:9" ht="15.75">
      <c r="A46" s="2"/>
      <c r="B46" s="230" t="s">
        <v>192</v>
      </c>
      <c r="C46" s="230"/>
      <c r="D46" s="230"/>
      <c r="E46" s="230"/>
      <c r="F46" s="230"/>
      <c r="G46" s="2"/>
      <c r="H46" s="2"/>
      <c r="I46" s="2"/>
    </row>
    <row r="47" spans="1:9" ht="15.75">
      <c r="A47" s="2"/>
      <c r="B47" s="226" t="s">
        <v>440</v>
      </c>
      <c r="C47" s="226"/>
      <c r="D47" s="226"/>
      <c r="E47" s="226"/>
      <c r="F47" s="226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>
      <c r="A50" s="43"/>
      <c r="B50" s="43"/>
      <c r="C50" s="43"/>
      <c r="D50" s="43"/>
      <c r="E50" s="43"/>
      <c r="F50" s="43"/>
      <c r="G50" s="43"/>
      <c r="H50" s="43"/>
      <c r="I50" s="43"/>
    </row>
    <row r="51" spans="1:9">
      <c r="A51" s="43"/>
      <c r="B51" s="43"/>
      <c r="C51" s="43"/>
      <c r="D51" s="43"/>
      <c r="E51" s="43"/>
      <c r="F51" s="43"/>
      <c r="G51" s="43"/>
      <c r="H51" s="43"/>
      <c r="I51" s="43"/>
    </row>
    <row r="52" spans="1:9">
      <c r="A52" s="43"/>
      <c r="B52" s="43"/>
      <c r="C52" s="43"/>
      <c r="D52" s="43"/>
      <c r="E52" s="43"/>
      <c r="F52" s="43"/>
      <c r="G52" s="43"/>
      <c r="H52" s="43"/>
      <c r="I52" s="43"/>
    </row>
    <row r="53" spans="1:9">
      <c r="A53" s="43"/>
      <c r="B53" s="43"/>
      <c r="C53" s="43"/>
      <c r="D53" s="43"/>
      <c r="E53" s="43"/>
      <c r="F53" s="43"/>
      <c r="G53" s="43"/>
      <c r="H53" s="43"/>
      <c r="I53" s="43"/>
    </row>
    <row r="54" spans="1:9">
      <c r="A54" s="43"/>
      <c r="B54" s="43"/>
      <c r="C54" s="43"/>
      <c r="D54" s="43"/>
      <c r="E54" s="43"/>
      <c r="F54" s="43"/>
      <c r="G54" s="43"/>
      <c r="H54" s="43"/>
      <c r="I54" s="43"/>
    </row>
    <row r="55" spans="1:9">
      <c r="A55" s="43"/>
      <c r="B55" s="43"/>
      <c r="C55" s="43"/>
      <c r="D55" s="43"/>
      <c r="E55" s="43"/>
      <c r="F55" s="43"/>
      <c r="G55" s="43"/>
      <c r="H55" s="43"/>
      <c r="I55" s="43"/>
    </row>
    <row r="56" spans="1:9">
      <c r="A56" s="43"/>
      <c r="B56" s="43"/>
      <c r="C56" s="43"/>
      <c r="D56" s="43"/>
      <c r="E56" s="43"/>
      <c r="F56" s="43"/>
      <c r="G56" s="43"/>
      <c r="H56" s="43"/>
      <c r="I56" s="43"/>
    </row>
    <row r="57" spans="1:9">
      <c r="A57" s="43"/>
      <c r="B57" s="43"/>
      <c r="C57" s="43"/>
      <c r="D57" s="43"/>
      <c r="E57" s="43"/>
      <c r="F57" s="43"/>
      <c r="G57" s="43"/>
      <c r="H57" s="43"/>
      <c r="I57" s="43"/>
    </row>
    <row r="58" spans="1:9">
      <c r="A58" s="43"/>
      <c r="B58" s="43"/>
      <c r="C58" s="43"/>
      <c r="D58" s="43"/>
      <c r="E58" s="43"/>
      <c r="F58" s="43"/>
      <c r="G58" s="43"/>
      <c r="H58" s="43"/>
      <c r="I58" s="43"/>
    </row>
    <row r="59" spans="1:9">
      <c r="A59" s="43"/>
      <c r="B59" s="43"/>
      <c r="C59" s="43"/>
      <c r="D59" s="43"/>
      <c r="E59" s="43"/>
      <c r="F59" s="43"/>
      <c r="G59" s="43"/>
      <c r="H59" s="43"/>
      <c r="I59" s="43"/>
    </row>
    <row r="60" spans="1:9">
      <c r="A60" s="43"/>
      <c r="B60" s="43"/>
      <c r="C60" s="43"/>
      <c r="D60" s="43"/>
      <c r="E60" s="43"/>
      <c r="F60" s="43"/>
      <c r="G60" s="43"/>
      <c r="H60" s="43"/>
      <c r="I60" s="43"/>
    </row>
    <row r="61" spans="1:9">
      <c r="A61" s="43"/>
      <c r="B61" s="43"/>
      <c r="C61" s="43"/>
      <c r="D61" s="43"/>
      <c r="E61" s="43"/>
      <c r="F61" s="43"/>
      <c r="G61" s="43"/>
      <c r="H61" s="43"/>
      <c r="I61" s="43"/>
    </row>
  </sheetData>
  <mergeCells count="16">
    <mergeCell ref="B3:I3"/>
    <mergeCell ref="B35:D35"/>
    <mergeCell ref="C34:D34"/>
    <mergeCell ref="B38:G38"/>
    <mergeCell ref="B47:F47"/>
    <mergeCell ref="B42:F42"/>
    <mergeCell ref="B43:F43"/>
    <mergeCell ref="B44:F44"/>
    <mergeCell ref="B45:F45"/>
    <mergeCell ref="B46:F46"/>
    <mergeCell ref="A4:A5"/>
    <mergeCell ref="B4:B5"/>
    <mergeCell ref="C4:C5"/>
    <mergeCell ref="D4:D5"/>
    <mergeCell ref="F4:I4"/>
    <mergeCell ref="E4:E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rowBreaks count="1" manualBreakCount="1">
    <brk id="28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B1:W399769"/>
  <sheetViews>
    <sheetView view="pageBreakPreview" topLeftCell="C259" zoomScale="60" zoomScaleNormal="70" workbookViewId="0">
      <selection activeCell="C81" sqref="A81:XFD81"/>
    </sheetView>
  </sheetViews>
  <sheetFormatPr defaultColWidth="9.140625" defaultRowHeight="15" outlineLevelRow="1"/>
  <cols>
    <col min="1" max="1" width="3.85546875" style="53" customWidth="1"/>
    <col min="2" max="3" width="9.28515625" style="53" bestFit="1" customWidth="1"/>
    <col min="4" max="4" width="29.42578125" style="53" customWidth="1"/>
    <col min="5" max="5" width="11.85546875" style="53" customWidth="1"/>
    <col min="6" max="6" width="14.140625" style="53" customWidth="1"/>
    <col min="7" max="7" width="15.85546875" style="53" customWidth="1"/>
    <col min="8" max="9" width="16.42578125" style="53" customWidth="1"/>
    <col min="10" max="10" width="11.42578125" style="53" customWidth="1"/>
    <col min="11" max="11" width="14" style="53" customWidth="1"/>
    <col min="12" max="12" width="14.5703125" style="53" customWidth="1"/>
    <col min="13" max="13" width="18" style="53" customWidth="1"/>
    <col min="14" max="14" width="13.140625" style="53" customWidth="1"/>
    <col min="15" max="15" width="14.7109375" style="53" customWidth="1"/>
    <col min="16" max="16" width="12.85546875" style="53" customWidth="1"/>
    <col min="17" max="17" width="15.28515625" style="53" customWidth="1"/>
    <col min="18" max="18" width="15.7109375" style="53" customWidth="1"/>
    <col min="19" max="19" width="18.140625" style="53" customWidth="1"/>
    <col min="20" max="20" width="16.140625" style="53" customWidth="1"/>
    <col min="21" max="21" width="13.85546875" style="53" customWidth="1"/>
    <col min="22" max="22" width="13.5703125" style="53" customWidth="1"/>
    <col min="23" max="23" width="11.7109375" style="53" bestFit="1" customWidth="1"/>
    <col min="24" max="16384" width="9.140625" style="53"/>
  </cols>
  <sheetData>
    <row r="1" spans="2:22" ht="15" customHeight="1"/>
    <row r="2" spans="2:22" ht="15" customHeight="1"/>
    <row r="3" spans="2:22" ht="71.25" customHeight="1">
      <c r="B3" s="52"/>
      <c r="C3" s="236" t="s">
        <v>431</v>
      </c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</row>
    <row r="4" spans="2:22" ht="15.75">
      <c r="B4" s="52"/>
      <c r="C4" s="52"/>
      <c r="D4" s="52"/>
      <c r="E4" s="54"/>
      <c r="F4" s="54"/>
      <c r="G4" s="54"/>
      <c r="H4" s="54"/>
      <c r="I4" s="54"/>
      <c r="J4" s="54"/>
      <c r="K4" s="54"/>
      <c r="L4" s="54"/>
      <c r="M4" s="54"/>
    </row>
    <row r="5" spans="2:22" ht="15.75" customHeight="1">
      <c r="B5" s="52"/>
      <c r="C5" s="258" t="s">
        <v>266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</row>
    <row r="6" spans="2:22" ht="15.75">
      <c r="B6" s="52"/>
      <c r="C6" s="52"/>
      <c r="D6" s="52"/>
      <c r="E6" s="54"/>
      <c r="F6" s="54"/>
      <c r="G6" s="54"/>
      <c r="H6" s="54"/>
      <c r="I6" s="54"/>
      <c r="J6" s="54"/>
      <c r="K6" s="54"/>
      <c r="L6" s="54"/>
      <c r="M6" s="54"/>
    </row>
    <row r="7" spans="2:22" ht="15.75" customHeight="1">
      <c r="B7" s="52"/>
      <c r="C7" s="258" t="s">
        <v>253</v>
      </c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</row>
    <row r="8" spans="2:22" ht="15.75"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</row>
    <row r="9" spans="2:22" ht="63" customHeight="1">
      <c r="B9" s="242" t="s">
        <v>193</v>
      </c>
      <c r="C9" s="259" t="s">
        <v>2</v>
      </c>
      <c r="D9" s="242" t="s">
        <v>205</v>
      </c>
      <c r="E9" s="242" t="s">
        <v>326</v>
      </c>
      <c r="F9" s="242" t="s">
        <v>18</v>
      </c>
      <c r="G9" s="242"/>
      <c r="H9" s="242"/>
      <c r="I9" s="242"/>
      <c r="J9" s="259" t="s">
        <v>19</v>
      </c>
      <c r="K9" s="136" t="s">
        <v>194</v>
      </c>
      <c r="L9" s="242" t="s">
        <v>195</v>
      </c>
      <c r="M9" s="242"/>
      <c r="N9" s="242"/>
      <c r="O9" s="242"/>
      <c r="P9" s="242"/>
    </row>
    <row r="10" spans="2:22" ht="94.5" customHeight="1">
      <c r="B10" s="242"/>
      <c r="C10" s="260"/>
      <c r="D10" s="242"/>
      <c r="E10" s="242"/>
      <c r="F10" s="242" t="s">
        <v>7</v>
      </c>
      <c r="G10" s="242" t="s">
        <v>4</v>
      </c>
      <c r="H10" s="242"/>
      <c r="I10" s="242"/>
      <c r="J10" s="260"/>
      <c r="K10" s="259" t="s">
        <v>249</v>
      </c>
      <c r="L10" s="242" t="s">
        <v>196</v>
      </c>
      <c r="M10" s="253" t="s">
        <v>197</v>
      </c>
      <c r="N10" s="242" t="s">
        <v>198</v>
      </c>
      <c r="O10" s="242" t="s">
        <v>199</v>
      </c>
      <c r="P10" s="242"/>
      <c r="T10" s="53" t="s">
        <v>367</v>
      </c>
    </row>
    <row r="11" spans="2:22" ht="87.75" customHeight="1">
      <c r="B11" s="242"/>
      <c r="C11" s="261"/>
      <c r="D11" s="242"/>
      <c r="E11" s="242"/>
      <c r="F11" s="242"/>
      <c r="G11" s="136" t="s">
        <v>20</v>
      </c>
      <c r="H11" s="136" t="s">
        <v>21</v>
      </c>
      <c r="I11" s="136" t="s">
        <v>22</v>
      </c>
      <c r="J11" s="261"/>
      <c r="K11" s="261"/>
      <c r="L11" s="242"/>
      <c r="M11" s="253"/>
      <c r="N11" s="242"/>
      <c r="O11" s="136" t="s">
        <v>14</v>
      </c>
      <c r="P11" s="136" t="s">
        <v>200</v>
      </c>
      <c r="Q11" s="154"/>
      <c r="R11" s="154"/>
      <c r="S11" s="154"/>
      <c r="T11" s="100" t="s">
        <v>327</v>
      </c>
      <c r="U11" s="206">
        <v>15164926</v>
      </c>
    </row>
    <row r="12" spans="2:22" ht="15.75">
      <c r="B12" s="136">
        <v>1</v>
      </c>
      <c r="C12" s="136">
        <v>2</v>
      </c>
      <c r="D12" s="136">
        <v>3</v>
      </c>
      <c r="E12" s="136">
        <v>4</v>
      </c>
      <c r="F12" s="136">
        <v>5</v>
      </c>
      <c r="G12" s="136">
        <v>6</v>
      </c>
      <c r="H12" s="136">
        <v>7</v>
      </c>
      <c r="I12" s="136">
        <v>8</v>
      </c>
      <c r="J12" s="136">
        <v>9</v>
      </c>
      <c r="K12" s="136">
        <v>10</v>
      </c>
      <c r="L12" s="136">
        <v>11</v>
      </c>
      <c r="M12" s="136">
        <v>12</v>
      </c>
      <c r="N12" s="136">
        <v>13</v>
      </c>
      <c r="O12" s="136">
        <v>14</v>
      </c>
      <c r="P12" s="136">
        <v>15</v>
      </c>
      <c r="Q12" s="154"/>
      <c r="R12" s="154"/>
      <c r="S12" s="154"/>
      <c r="T12" s="100" t="s">
        <v>328</v>
      </c>
      <c r="U12" s="155"/>
    </row>
    <row r="13" spans="2:22" ht="31.5" customHeight="1">
      <c r="B13" s="75">
        <v>111</v>
      </c>
      <c r="C13" s="75" t="s">
        <v>201</v>
      </c>
      <c r="D13" s="71" t="s">
        <v>324</v>
      </c>
      <c r="E13" s="75">
        <v>12</v>
      </c>
      <c r="F13" s="74">
        <f>G13+H13+I13</f>
        <v>39769.19</v>
      </c>
      <c r="G13" s="74">
        <f>170233.32/E13</f>
        <v>14186.11</v>
      </c>
      <c r="H13" s="74">
        <f>10137.9+1</f>
        <v>10138.9</v>
      </c>
      <c r="I13" s="74">
        <f>407.38+4672.9+3019.3+8663.1-1318.5</f>
        <v>15444.18</v>
      </c>
      <c r="J13" s="74">
        <f xml:space="preserve"> ROUND((F13*15%),2)+7.9</f>
        <v>5973.28</v>
      </c>
      <c r="K13" s="74">
        <f>ROUND(((F13+J13)*12*E13),2)+3.2-7.52+3.2+1.03-3.95</f>
        <v>6586911.6400000006</v>
      </c>
      <c r="L13" s="74">
        <f>K13-O13-M13</f>
        <v>6576811.6000000006</v>
      </c>
      <c r="M13" s="74">
        <f>U10</f>
        <v>0</v>
      </c>
      <c r="N13" s="74" t="s">
        <v>243</v>
      </c>
      <c r="O13" s="119">
        <f>U15</f>
        <v>10100.040000000001</v>
      </c>
      <c r="P13" s="74" t="s">
        <v>243</v>
      </c>
      <c r="Q13" s="78">
        <f>U16-Q15-Q16-Q14</f>
        <v>6586911.6400000006</v>
      </c>
      <c r="R13" s="96">
        <f t="shared" ref="R13:R15" si="0">S13/1.15/12/E13</f>
        <v>0</v>
      </c>
      <c r="S13" s="153">
        <f>Q13-K13</f>
        <v>0</v>
      </c>
      <c r="T13" s="100" t="s">
        <v>329</v>
      </c>
      <c r="U13" s="156"/>
    </row>
    <row r="14" spans="2:22" ht="31.5" customHeight="1">
      <c r="B14" s="75">
        <v>111</v>
      </c>
      <c r="C14" s="75" t="s">
        <v>179</v>
      </c>
      <c r="D14" s="71" t="s">
        <v>325</v>
      </c>
      <c r="E14" s="75">
        <v>2</v>
      </c>
      <c r="F14" s="74">
        <f>G14+H14+I14</f>
        <v>19446</v>
      </c>
      <c r="G14" s="74">
        <f>(14000+14000)/E14</f>
        <v>14000</v>
      </c>
      <c r="H14" s="119">
        <f>(2646+700+2646+700)/E14</f>
        <v>3346</v>
      </c>
      <c r="I14" s="120">
        <f>(700+1400+700+1400)/E14</f>
        <v>2100</v>
      </c>
      <c r="J14" s="74">
        <f xml:space="preserve"> ROUND((F14*15%),2)</f>
        <v>2916.9</v>
      </c>
      <c r="K14" s="74">
        <f>ROUND(((F14+J14)*12*E14),2)</f>
        <v>536709.6</v>
      </c>
      <c r="L14" s="74">
        <f>K14-O14</f>
        <v>536709.6</v>
      </c>
      <c r="M14" s="74" t="s">
        <v>243</v>
      </c>
      <c r="N14" s="74" t="s">
        <v>243</v>
      </c>
      <c r="O14" s="75">
        <v>0</v>
      </c>
      <c r="P14" s="74" t="s">
        <v>243</v>
      </c>
      <c r="Q14" s="78">
        <f>(22362.9+22362.9)*12</f>
        <v>536709.60000000009</v>
      </c>
      <c r="R14" s="78">
        <f t="shared" si="0"/>
        <v>0</v>
      </c>
      <c r="S14" s="99">
        <f>Q14-K14</f>
        <v>0</v>
      </c>
      <c r="T14" s="100" t="s">
        <v>330</v>
      </c>
      <c r="U14" s="156"/>
    </row>
    <row r="15" spans="2:22" ht="21.75" customHeight="1">
      <c r="B15" s="75">
        <v>111</v>
      </c>
      <c r="C15" s="75" t="s">
        <v>184</v>
      </c>
      <c r="D15" s="71" t="s">
        <v>202</v>
      </c>
      <c r="E15" s="75">
        <v>23.5</v>
      </c>
      <c r="F15" s="74">
        <f t="shared" ref="F15:F16" si="1">G15+H15+I15</f>
        <v>15648.870851063828</v>
      </c>
      <c r="G15" s="74">
        <f>(8800+52993.92+6400+50880+6400+83640)/E15</f>
        <v>8898.4646808510624</v>
      </c>
      <c r="H15" s="120">
        <f>(4650+41121.94+4712+33401.78+5088.72+4712+51710.18+12358.32)/E15-842.57</f>
        <v>5870.4061702127665</v>
      </c>
      <c r="I15" s="75">
        <f>(440+220+220)</f>
        <v>880</v>
      </c>
      <c r="J15" s="74">
        <f xml:space="preserve"> ROUND((F15*15%),2)</f>
        <v>2347.33</v>
      </c>
      <c r="K15" s="74">
        <f>ROUND(((F15+J15)*12*E15),2)+5.76</f>
        <v>5074934.3999999994</v>
      </c>
      <c r="L15" s="74">
        <f t="shared" ref="L15:L16" si="2">K15-O15</f>
        <v>5074934.3999999994</v>
      </c>
      <c r="M15" s="74" t="s">
        <v>243</v>
      </c>
      <c r="N15" s="74" t="s">
        <v>243</v>
      </c>
      <c r="O15" s="75">
        <v>0</v>
      </c>
      <c r="P15" s="74" t="s">
        <v>243</v>
      </c>
      <c r="Q15" s="78">
        <f>(15973.5+108233.24+12778.8+103029.08+12778.8+170117.78)*12</f>
        <v>5074934.3999999994</v>
      </c>
      <c r="R15" s="78">
        <f t="shared" si="0"/>
        <v>0</v>
      </c>
      <c r="S15" s="99">
        <f>Q15-K15</f>
        <v>0</v>
      </c>
      <c r="T15" s="100" t="s">
        <v>294</v>
      </c>
      <c r="U15" s="157">
        <v>10100.040000000001</v>
      </c>
    </row>
    <row r="16" spans="2:22" ht="35.25" customHeight="1">
      <c r="B16" s="75">
        <v>111</v>
      </c>
      <c r="C16" s="75" t="s">
        <v>204</v>
      </c>
      <c r="D16" s="71" t="s">
        <v>203</v>
      </c>
      <c r="E16" s="75">
        <v>3.5</v>
      </c>
      <c r="F16" s="74">
        <f t="shared" si="1"/>
        <v>61624.639999999999</v>
      </c>
      <c r="G16" s="74">
        <f>(74400+7200)/E16</f>
        <v>23314.285714285714</v>
      </c>
      <c r="H16" s="119">
        <f>(2856+1224)/E16</f>
        <v>1165.7142857142858</v>
      </c>
      <c r="I16" s="119">
        <v>37144.639999999999</v>
      </c>
      <c r="J16" s="74">
        <f xml:space="preserve"> ROUND((F16*15%),2)</f>
        <v>9243.7000000000007</v>
      </c>
      <c r="K16" s="74">
        <f>ROUND(((F16+J16)*12*E16),2)+0.12</f>
        <v>2976470.4</v>
      </c>
      <c r="L16" s="74">
        <f t="shared" si="2"/>
        <v>2976470.4</v>
      </c>
      <c r="M16" s="74" t="s">
        <v>243</v>
      </c>
      <c r="N16" s="74" t="s">
        <v>243</v>
      </c>
      <c r="O16" s="75">
        <v>0</v>
      </c>
      <c r="P16" s="74" t="s">
        <v>243</v>
      </c>
      <c r="Q16" s="78">
        <f>(127801.18+120238.02)*12</f>
        <v>2976470.4000000004</v>
      </c>
      <c r="R16" s="78">
        <f>S16/1.15/12/E16</f>
        <v>0</v>
      </c>
      <c r="S16" s="99">
        <f>Q16-K16</f>
        <v>0</v>
      </c>
      <c r="T16" s="100" t="s">
        <v>7</v>
      </c>
      <c r="U16" s="127">
        <f>SUM(U11:U15)+U10</f>
        <v>15175026.039999999</v>
      </c>
      <c r="V16" s="78">
        <f>U16-K17</f>
        <v>0</v>
      </c>
    </row>
    <row r="17" spans="2:21" ht="15.75">
      <c r="B17" s="158"/>
      <c r="C17" s="243" t="s">
        <v>23</v>
      </c>
      <c r="D17" s="243"/>
      <c r="E17" s="139" t="s">
        <v>9</v>
      </c>
      <c r="F17" s="139" t="s">
        <v>9</v>
      </c>
      <c r="G17" s="139" t="s">
        <v>9</v>
      </c>
      <c r="H17" s="139" t="s">
        <v>9</v>
      </c>
      <c r="I17" s="139" t="s">
        <v>9</v>
      </c>
      <c r="J17" s="139" t="s">
        <v>9</v>
      </c>
      <c r="K17" s="89">
        <f>SUM(K13:K16)</f>
        <v>15175026.040000001</v>
      </c>
      <c r="L17" s="89">
        <f>SUM(L13:L16)</f>
        <v>15164926</v>
      </c>
      <c r="M17" s="89">
        <f t="shared" ref="M17:P17" si="3">SUM(M13:M16)</f>
        <v>0</v>
      </c>
      <c r="N17" s="89">
        <f t="shared" si="3"/>
        <v>0</v>
      </c>
      <c r="O17" s="89">
        <f t="shared" si="3"/>
        <v>10100.040000000001</v>
      </c>
      <c r="P17" s="89">
        <f t="shared" si="3"/>
        <v>0</v>
      </c>
      <c r="S17" s="99"/>
      <c r="U17" s="53" t="b">
        <f>K17=U16</f>
        <v>1</v>
      </c>
    </row>
    <row r="18" spans="2:21" ht="15" customHeight="1">
      <c r="J18" s="78"/>
      <c r="L18" s="78"/>
      <c r="S18" s="78"/>
    </row>
    <row r="19" spans="2:21" ht="21" customHeight="1">
      <c r="B19" s="52"/>
      <c r="C19" s="244" t="s">
        <v>254</v>
      </c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52"/>
      <c r="P19" s="52"/>
      <c r="Q19" s="154"/>
      <c r="R19" s="154"/>
      <c r="S19" s="154"/>
    </row>
    <row r="20" spans="2:21" ht="15.75" customHeight="1"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</row>
    <row r="21" spans="2:21" ht="34.5" customHeight="1">
      <c r="B21" s="242" t="s">
        <v>193</v>
      </c>
      <c r="C21" s="242" t="s">
        <v>2</v>
      </c>
      <c r="D21" s="242" t="s">
        <v>24</v>
      </c>
      <c r="E21" s="242" t="s">
        <v>209</v>
      </c>
      <c r="F21" s="242"/>
      <c r="G21" s="242" t="s">
        <v>195</v>
      </c>
      <c r="H21" s="242"/>
      <c r="I21" s="242"/>
      <c r="J21" s="242"/>
      <c r="K21" s="242"/>
      <c r="L21" s="242"/>
      <c r="M21" s="242"/>
      <c r="N21" s="87"/>
      <c r="O21" s="87"/>
      <c r="P21" s="87"/>
      <c r="Q21" s="87"/>
      <c r="R21" s="87"/>
    </row>
    <row r="22" spans="2:21" ht="90.75" customHeight="1">
      <c r="B22" s="242"/>
      <c r="C22" s="242"/>
      <c r="D22" s="242"/>
      <c r="E22" s="242"/>
      <c r="F22" s="242"/>
      <c r="G22" s="242" t="s">
        <v>196</v>
      </c>
      <c r="H22" s="242"/>
      <c r="I22" s="253" t="s">
        <v>197</v>
      </c>
      <c r="J22" s="253"/>
      <c r="K22" s="242" t="s">
        <v>198</v>
      </c>
      <c r="L22" s="262" t="s">
        <v>199</v>
      </c>
      <c r="M22" s="263"/>
      <c r="N22" s="241"/>
      <c r="O22" s="241"/>
      <c r="P22" s="91"/>
      <c r="Q22" s="76"/>
      <c r="R22" s="76"/>
      <c r="S22" s="76"/>
    </row>
    <row r="23" spans="2:21" ht="39" customHeight="1">
      <c r="B23" s="242"/>
      <c r="C23" s="242"/>
      <c r="D23" s="242"/>
      <c r="E23" s="242"/>
      <c r="F23" s="242"/>
      <c r="G23" s="242"/>
      <c r="H23" s="242"/>
      <c r="I23" s="253"/>
      <c r="J23" s="253"/>
      <c r="K23" s="242"/>
      <c r="L23" s="136" t="s">
        <v>14</v>
      </c>
      <c r="M23" s="136" t="s">
        <v>200</v>
      </c>
      <c r="N23" s="91"/>
      <c r="O23" s="91"/>
      <c r="P23" s="91"/>
      <c r="Q23" s="76"/>
      <c r="R23" s="76"/>
      <c r="S23" s="76"/>
    </row>
    <row r="24" spans="2:21" ht="15.75" customHeight="1">
      <c r="B24" s="136">
        <v>1</v>
      </c>
      <c r="C24" s="136">
        <v>2</v>
      </c>
      <c r="D24" s="136">
        <v>3</v>
      </c>
      <c r="E24" s="242">
        <v>4</v>
      </c>
      <c r="F24" s="242"/>
      <c r="G24" s="242">
        <v>5</v>
      </c>
      <c r="H24" s="242"/>
      <c r="I24" s="242">
        <v>6</v>
      </c>
      <c r="J24" s="242"/>
      <c r="K24" s="136">
        <v>7</v>
      </c>
      <c r="L24" s="136">
        <v>8</v>
      </c>
      <c r="M24" s="136">
        <v>9</v>
      </c>
      <c r="N24" s="91"/>
      <c r="O24" s="91"/>
      <c r="P24" s="91"/>
      <c r="Q24" s="76"/>
      <c r="R24" s="76"/>
      <c r="S24" s="76"/>
    </row>
    <row r="25" spans="2:21" ht="30.75" customHeight="1">
      <c r="B25" s="75">
        <v>111</v>
      </c>
      <c r="C25" s="75" t="s">
        <v>201</v>
      </c>
      <c r="D25" s="159" t="s">
        <v>282</v>
      </c>
      <c r="E25" s="245">
        <v>159992</v>
      </c>
      <c r="F25" s="246"/>
      <c r="G25" s="247" t="s">
        <v>9</v>
      </c>
      <c r="H25" s="247"/>
      <c r="I25" s="247" t="s">
        <v>9</v>
      </c>
      <c r="J25" s="247"/>
      <c r="K25" s="75" t="s">
        <v>9</v>
      </c>
      <c r="L25" s="75" t="s">
        <v>9</v>
      </c>
      <c r="M25" s="75" t="s">
        <v>9</v>
      </c>
      <c r="N25" s="87"/>
      <c r="O25" s="87"/>
      <c r="P25" s="87"/>
      <c r="Q25" s="49" t="s">
        <v>296</v>
      </c>
      <c r="R25" s="49"/>
      <c r="S25" s="76"/>
    </row>
    <row r="26" spans="2:21" ht="15.75" customHeight="1">
      <c r="B26" s="71"/>
      <c r="C26" s="248" t="s">
        <v>23</v>
      </c>
      <c r="D26" s="249"/>
      <c r="E26" s="250">
        <f>SUM(E25)</f>
        <v>159992</v>
      </c>
      <c r="F26" s="250"/>
      <c r="G26" s="250">
        <f>E26</f>
        <v>159992</v>
      </c>
      <c r="H26" s="251"/>
      <c r="I26" s="252">
        <v>0</v>
      </c>
      <c r="J26" s="252"/>
      <c r="K26" s="90">
        <v>0</v>
      </c>
      <c r="L26" s="90">
        <v>0</v>
      </c>
      <c r="M26" s="90">
        <v>0</v>
      </c>
      <c r="N26" s="87"/>
      <c r="O26" s="87"/>
      <c r="P26" s="87"/>
      <c r="Q26" s="76"/>
      <c r="R26" s="76"/>
      <c r="S26" s="76"/>
    </row>
    <row r="27" spans="2:21" ht="15.75">
      <c r="B27" s="160"/>
      <c r="C27" s="160"/>
      <c r="D27" s="161"/>
      <c r="E27" s="86"/>
      <c r="F27" s="86"/>
      <c r="G27" s="86"/>
      <c r="H27" s="87"/>
      <c r="I27" s="91"/>
      <c r="J27" s="91"/>
      <c r="K27" s="91"/>
      <c r="L27" s="91"/>
      <c r="M27" s="87"/>
      <c r="N27" s="87"/>
      <c r="O27" s="87"/>
      <c r="P27" s="87"/>
      <c r="Q27" s="76"/>
      <c r="R27" s="76"/>
      <c r="S27" s="76"/>
    </row>
    <row r="28" spans="2:21" ht="18.75" customHeight="1">
      <c r="B28" s="52"/>
      <c r="C28" s="236" t="s">
        <v>255</v>
      </c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162"/>
      <c r="P28" s="162"/>
    </row>
    <row r="29" spans="2:21" ht="15.75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</row>
    <row r="30" spans="2:21" ht="36" customHeight="1">
      <c r="B30" s="242" t="s">
        <v>193</v>
      </c>
      <c r="C30" s="242" t="s">
        <v>2</v>
      </c>
      <c r="D30" s="242" t="s">
        <v>24</v>
      </c>
      <c r="E30" s="242" t="s">
        <v>206</v>
      </c>
      <c r="F30" s="242" t="s">
        <v>207</v>
      </c>
      <c r="G30" s="242" t="s">
        <v>208</v>
      </c>
      <c r="H30" s="136" t="s">
        <v>209</v>
      </c>
      <c r="I30" s="242" t="s">
        <v>195</v>
      </c>
      <c r="J30" s="242"/>
      <c r="K30" s="242"/>
      <c r="L30" s="242"/>
      <c r="M30" s="242"/>
      <c r="N30" s="242"/>
      <c r="O30" s="242"/>
      <c r="P30" s="87"/>
    </row>
    <row r="31" spans="2:21" ht="87.75" customHeight="1">
      <c r="B31" s="242"/>
      <c r="C31" s="242"/>
      <c r="D31" s="242"/>
      <c r="E31" s="242"/>
      <c r="F31" s="242"/>
      <c r="G31" s="242"/>
      <c r="H31" s="242" t="s">
        <v>246</v>
      </c>
      <c r="I31" s="240" t="s">
        <v>196</v>
      </c>
      <c r="J31" s="240"/>
      <c r="K31" s="253" t="s">
        <v>197</v>
      </c>
      <c r="L31" s="253"/>
      <c r="M31" s="242" t="s">
        <v>198</v>
      </c>
      <c r="N31" s="254" t="s">
        <v>199</v>
      </c>
      <c r="O31" s="255"/>
      <c r="P31" s="91"/>
      <c r="Q31" s="264"/>
      <c r="R31" s="264"/>
      <c r="S31" s="264"/>
      <c r="T31" s="52"/>
    </row>
    <row r="32" spans="2:21" ht="30.75" customHeight="1">
      <c r="B32" s="242"/>
      <c r="C32" s="242"/>
      <c r="D32" s="242"/>
      <c r="E32" s="242"/>
      <c r="F32" s="242"/>
      <c r="G32" s="242"/>
      <c r="H32" s="242"/>
      <c r="I32" s="240"/>
      <c r="J32" s="240"/>
      <c r="K32" s="253"/>
      <c r="L32" s="253"/>
      <c r="M32" s="242"/>
      <c r="N32" s="135" t="s">
        <v>14</v>
      </c>
      <c r="O32" s="135" t="s">
        <v>200</v>
      </c>
      <c r="P32" s="91"/>
      <c r="Q32" s="142"/>
      <c r="R32" s="142"/>
      <c r="S32" s="142"/>
      <c r="T32" s="52"/>
    </row>
    <row r="33" spans="2:20" ht="15.75">
      <c r="B33" s="136">
        <v>1</v>
      </c>
      <c r="C33" s="136">
        <v>2</v>
      </c>
      <c r="D33" s="136">
        <v>3</v>
      </c>
      <c r="E33" s="136">
        <v>4</v>
      </c>
      <c r="F33" s="136">
        <v>5</v>
      </c>
      <c r="G33" s="136">
        <v>6</v>
      </c>
      <c r="H33" s="136">
        <v>7</v>
      </c>
      <c r="I33" s="242">
        <v>8</v>
      </c>
      <c r="J33" s="242"/>
      <c r="K33" s="242">
        <v>9</v>
      </c>
      <c r="L33" s="242"/>
      <c r="M33" s="136">
        <v>10</v>
      </c>
      <c r="N33" s="136">
        <v>11</v>
      </c>
      <c r="O33" s="136">
        <v>12</v>
      </c>
      <c r="P33" s="91"/>
      <c r="Q33" s="91"/>
      <c r="R33" s="91"/>
      <c r="S33" s="91"/>
      <c r="T33" s="52"/>
    </row>
    <row r="34" spans="2:20" ht="84" customHeight="1">
      <c r="B34" s="75">
        <v>112</v>
      </c>
      <c r="C34" s="75" t="s">
        <v>201</v>
      </c>
      <c r="D34" s="163" t="s">
        <v>283</v>
      </c>
      <c r="E34" s="119">
        <v>0</v>
      </c>
      <c r="F34" s="75">
        <v>1</v>
      </c>
      <c r="G34" s="75">
        <v>0</v>
      </c>
      <c r="H34" s="119">
        <v>0</v>
      </c>
      <c r="I34" s="247" t="s">
        <v>9</v>
      </c>
      <c r="J34" s="247"/>
      <c r="K34" s="247" t="s">
        <v>9</v>
      </c>
      <c r="L34" s="247"/>
      <c r="M34" s="75" t="s">
        <v>9</v>
      </c>
      <c r="N34" s="75" t="s">
        <v>9</v>
      </c>
      <c r="O34" s="75" t="s">
        <v>9</v>
      </c>
      <c r="P34" s="160"/>
      <c r="Q34" s="49" t="s">
        <v>295</v>
      </c>
      <c r="R34" s="49"/>
      <c r="S34" s="86"/>
      <c r="T34" s="52"/>
    </row>
    <row r="35" spans="2:20" ht="15.75">
      <c r="B35" s="71"/>
      <c r="C35" s="163"/>
      <c r="D35" s="164" t="s">
        <v>23</v>
      </c>
      <c r="E35" s="139" t="s">
        <v>9</v>
      </c>
      <c r="F35" s="139" t="s">
        <v>9</v>
      </c>
      <c r="G35" s="139" t="s">
        <v>9</v>
      </c>
      <c r="H35" s="138">
        <f>SUM(H34)</f>
        <v>0</v>
      </c>
      <c r="I35" s="256">
        <f>H35</f>
        <v>0</v>
      </c>
      <c r="J35" s="257"/>
      <c r="K35" s="256">
        <v>0</v>
      </c>
      <c r="L35" s="256"/>
      <c r="M35" s="138">
        <v>0</v>
      </c>
      <c r="N35" s="138">
        <v>0</v>
      </c>
      <c r="O35" s="138">
        <v>0</v>
      </c>
      <c r="P35" s="165"/>
      <c r="Q35" s="87"/>
      <c r="R35" s="87"/>
      <c r="S35" s="87"/>
      <c r="T35" s="52"/>
    </row>
    <row r="36" spans="2:20" ht="15" customHeight="1"/>
    <row r="37" spans="2:20" ht="34.5" customHeight="1">
      <c r="B37" s="52"/>
      <c r="C37" s="236" t="s">
        <v>256</v>
      </c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162"/>
      <c r="P37" s="162"/>
    </row>
    <row r="38" spans="2:20" ht="15.75" customHeight="1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</row>
    <row r="39" spans="2:20" ht="36" customHeight="1">
      <c r="B39" s="242" t="s">
        <v>193</v>
      </c>
      <c r="C39" s="242" t="s">
        <v>2</v>
      </c>
      <c r="D39" s="242" t="s">
        <v>24</v>
      </c>
      <c r="E39" s="242" t="s">
        <v>206</v>
      </c>
      <c r="F39" s="242" t="s">
        <v>207</v>
      </c>
      <c r="G39" s="242" t="s">
        <v>208</v>
      </c>
      <c r="H39" s="136" t="s">
        <v>209</v>
      </c>
      <c r="I39" s="242" t="s">
        <v>195</v>
      </c>
      <c r="J39" s="242"/>
      <c r="K39" s="242"/>
      <c r="L39" s="242"/>
      <c r="M39" s="242"/>
      <c r="N39" s="242"/>
      <c r="O39" s="242"/>
      <c r="P39" s="87"/>
    </row>
    <row r="40" spans="2:20" ht="87" customHeight="1">
      <c r="B40" s="242"/>
      <c r="C40" s="242"/>
      <c r="D40" s="242"/>
      <c r="E40" s="242"/>
      <c r="F40" s="242"/>
      <c r="G40" s="242"/>
      <c r="H40" s="242" t="s">
        <v>246</v>
      </c>
      <c r="I40" s="240" t="s">
        <v>196</v>
      </c>
      <c r="J40" s="240"/>
      <c r="K40" s="253" t="s">
        <v>197</v>
      </c>
      <c r="L40" s="253"/>
      <c r="M40" s="242" t="s">
        <v>198</v>
      </c>
      <c r="N40" s="240" t="s">
        <v>199</v>
      </c>
      <c r="O40" s="240"/>
      <c r="P40" s="91"/>
      <c r="Q40" s="264"/>
      <c r="R40" s="264"/>
      <c r="S40" s="264"/>
      <c r="T40" s="52"/>
    </row>
    <row r="41" spans="2:20" ht="30.75" customHeight="1">
      <c r="B41" s="242"/>
      <c r="C41" s="242"/>
      <c r="D41" s="242"/>
      <c r="E41" s="242"/>
      <c r="F41" s="242"/>
      <c r="G41" s="242"/>
      <c r="H41" s="242"/>
      <c r="I41" s="240"/>
      <c r="J41" s="240"/>
      <c r="K41" s="253"/>
      <c r="L41" s="253"/>
      <c r="M41" s="242"/>
      <c r="N41" s="135" t="s">
        <v>14</v>
      </c>
      <c r="O41" s="135" t="s">
        <v>200</v>
      </c>
      <c r="P41" s="91"/>
      <c r="Q41" s="142"/>
      <c r="R41" s="142"/>
      <c r="S41" s="142"/>
      <c r="T41" s="52"/>
    </row>
    <row r="42" spans="2:20" ht="15.75" customHeight="1">
      <c r="B42" s="136">
        <v>1</v>
      </c>
      <c r="C42" s="136">
        <v>2</v>
      </c>
      <c r="D42" s="136">
        <v>3</v>
      </c>
      <c r="E42" s="136">
        <v>4</v>
      </c>
      <c r="F42" s="136">
        <v>5</v>
      </c>
      <c r="G42" s="136">
        <v>6</v>
      </c>
      <c r="H42" s="136">
        <v>7</v>
      </c>
      <c r="I42" s="242">
        <v>8</v>
      </c>
      <c r="J42" s="242"/>
      <c r="K42" s="242">
        <v>9</v>
      </c>
      <c r="L42" s="242"/>
      <c r="M42" s="136">
        <v>10</v>
      </c>
      <c r="N42" s="136">
        <v>11</v>
      </c>
      <c r="O42" s="136">
        <v>12</v>
      </c>
      <c r="P42" s="91"/>
      <c r="Q42" s="91"/>
      <c r="R42" s="91"/>
      <c r="S42" s="91"/>
      <c r="T42" s="52"/>
    </row>
    <row r="43" spans="2:20" ht="18" customHeight="1">
      <c r="B43" s="71"/>
      <c r="C43" s="75"/>
      <c r="D43" s="166"/>
      <c r="E43" s="71"/>
      <c r="F43" s="71"/>
      <c r="G43" s="71"/>
      <c r="H43" s="71"/>
      <c r="I43" s="247" t="s">
        <v>9</v>
      </c>
      <c r="J43" s="247"/>
      <c r="K43" s="247" t="s">
        <v>9</v>
      </c>
      <c r="L43" s="247"/>
      <c r="M43" s="75" t="s">
        <v>9</v>
      </c>
      <c r="N43" s="75" t="s">
        <v>9</v>
      </c>
      <c r="O43" s="75" t="s">
        <v>9</v>
      </c>
      <c r="P43" s="160"/>
      <c r="Q43" s="86" t="s">
        <v>317</v>
      </c>
      <c r="R43" s="86"/>
      <c r="S43" s="86"/>
      <c r="T43" s="52"/>
    </row>
    <row r="44" spans="2:20" ht="15.75" customHeight="1">
      <c r="B44" s="71"/>
      <c r="C44" s="163"/>
      <c r="D44" s="164" t="s">
        <v>23</v>
      </c>
      <c r="E44" s="139" t="s">
        <v>9</v>
      </c>
      <c r="F44" s="139" t="s">
        <v>9</v>
      </c>
      <c r="G44" s="139" t="s">
        <v>9</v>
      </c>
      <c r="H44" s="167"/>
      <c r="I44" s="257"/>
      <c r="J44" s="257"/>
      <c r="K44" s="257"/>
      <c r="L44" s="257"/>
      <c r="M44" s="167"/>
      <c r="N44" s="167"/>
      <c r="O44" s="167"/>
      <c r="P44" s="165"/>
      <c r="Q44" s="87"/>
      <c r="R44" s="87"/>
      <c r="S44" s="87"/>
      <c r="T44" s="52"/>
    </row>
    <row r="45" spans="2:20" ht="15.75">
      <c r="B45" s="160"/>
      <c r="C45" s="87"/>
      <c r="D45" s="168"/>
      <c r="E45" s="92"/>
      <c r="F45" s="92"/>
      <c r="G45" s="92"/>
      <c r="H45" s="165"/>
      <c r="I45" s="92"/>
      <c r="J45" s="92"/>
      <c r="K45" s="92"/>
      <c r="L45" s="92"/>
      <c r="M45" s="165"/>
      <c r="N45" s="165"/>
      <c r="O45" s="87"/>
      <c r="P45" s="87"/>
      <c r="Q45" s="87"/>
      <c r="R45" s="87"/>
      <c r="S45" s="87"/>
      <c r="T45" s="52"/>
    </row>
    <row r="46" spans="2:20" ht="54.75" customHeight="1">
      <c r="B46" s="52"/>
      <c r="C46" s="236" t="s">
        <v>257</v>
      </c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52"/>
      <c r="P46" s="52"/>
    </row>
    <row r="47" spans="2:20" ht="15.75"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</row>
    <row r="48" spans="2:20" ht="23.25" customHeight="1">
      <c r="B48" s="242" t="s">
        <v>193</v>
      </c>
      <c r="C48" s="242" t="s">
        <v>2</v>
      </c>
      <c r="D48" s="242" t="s">
        <v>25</v>
      </c>
      <c r="E48" s="242" t="s">
        <v>211</v>
      </c>
      <c r="F48" s="242" t="s">
        <v>212</v>
      </c>
      <c r="G48" s="242" t="s">
        <v>213</v>
      </c>
      <c r="H48" s="242" t="s">
        <v>195</v>
      </c>
      <c r="I48" s="242"/>
      <c r="J48" s="242"/>
      <c r="K48" s="242"/>
      <c r="L48" s="242"/>
      <c r="M48" s="242"/>
      <c r="N48" s="242"/>
      <c r="O48" s="87"/>
      <c r="P48" s="87"/>
    </row>
    <row r="49" spans="2:23" ht="84" customHeight="1">
      <c r="B49" s="242"/>
      <c r="C49" s="242"/>
      <c r="D49" s="242"/>
      <c r="E49" s="242"/>
      <c r="F49" s="242"/>
      <c r="G49" s="262"/>
      <c r="H49" s="242" t="s">
        <v>196</v>
      </c>
      <c r="I49" s="242"/>
      <c r="J49" s="265" t="s">
        <v>197</v>
      </c>
      <c r="K49" s="253"/>
      <c r="L49" s="242" t="s">
        <v>198</v>
      </c>
      <c r="M49" s="242" t="s">
        <v>199</v>
      </c>
      <c r="N49" s="242"/>
      <c r="O49" s="87"/>
      <c r="P49" s="87"/>
    </row>
    <row r="50" spans="2:23" ht="36" customHeight="1">
      <c r="B50" s="242"/>
      <c r="C50" s="242"/>
      <c r="D50" s="242"/>
      <c r="E50" s="242"/>
      <c r="F50" s="242"/>
      <c r="G50" s="262"/>
      <c r="H50" s="242"/>
      <c r="I50" s="242"/>
      <c r="J50" s="265"/>
      <c r="K50" s="253"/>
      <c r="L50" s="242"/>
      <c r="M50" s="136" t="s">
        <v>14</v>
      </c>
      <c r="N50" s="136" t="s">
        <v>200</v>
      </c>
      <c r="O50" s="91"/>
      <c r="P50" s="91"/>
    </row>
    <row r="51" spans="2:23" ht="15.75">
      <c r="B51" s="136">
        <v>1</v>
      </c>
      <c r="C51" s="136">
        <v>2</v>
      </c>
      <c r="D51" s="136">
        <v>3</v>
      </c>
      <c r="E51" s="136">
        <v>4</v>
      </c>
      <c r="F51" s="136">
        <v>5</v>
      </c>
      <c r="G51" s="169">
        <v>6</v>
      </c>
      <c r="H51" s="242">
        <v>7</v>
      </c>
      <c r="I51" s="242"/>
      <c r="J51" s="263">
        <v>8</v>
      </c>
      <c r="K51" s="242"/>
      <c r="L51" s="136">
        <v>9</v>
      </c>
      <c r="M51" s="136">
        <v>10</v>
      </c>
      <c r="N51" s="136">
        <v>11</v>
      </c>
      <c r="O51" s="91"/>
      <c r="P51" s="91"/>
    </row>
    <row r="52" spans="2:23" ht="63">
      <c r="B52" s="75">
        <v>119</v>
      </c>
      <c r="C52" s="75" t="s">
        <v>201</v>
      </c>
      <c r="D52" s="166" t="s">
        <v>26</v>
      </c>
      <c r="E52" s="75" t="s">
        <v>9</v>
      </c>
      <c r="F52" s="75" t="s">
        <v>9</v>
      </c>
      <c r="G52" s="170">
        <f>SUM(G53:G54)</f>
        <v>3610465.6799999997</v>
      </c>
      <c r="H52" s="247" t="s">
        <v>9</v>
      </c>
      <c r="I52" s="247"/>
      <c r="J52" s="247" t="s">
        <v>9</v>
      </c>
      <c r="K52" s="247"/>
      <c r="L52" s="137" t="s">
        <v>9</v>
      </c>
      <c r="M52" s="137" t="s">
        <v>9</v>
      </c>
      <c r="N52" s="137" t="s">
        <v>9</v>
      </c>
      <c r="O52" s="86"/>
      <c r="R52" s="171">
        <f>ROUND((2196828.95*100/30.2),0)</f>
        <v>7274268</v>
      </c>
    </row>
    <row r="53" spans="2:23" ht="15.75">
      <c r="B53" s="75">
        <v>119</v>
      </c>
      <c r="C53" s="75" t="s">
        <v>27</v>
      </c>
      <c r="D53" s="166" t="s">
        <v>214</v>
      </c>
      <c r="E53" s="75">
        <v>22</v>
      </c>
      <c r="F53" s="172">
        <f>K17</f>
        <v>15175026.040000001</v>
      </c>
      <c r="G53" s="170">
        <f>ROUND((F53*22%),0)+26360-14926-4800-6646-50000-33882+535938.97-143317-329905+70189.77+330296.58-143950.84+74080-470000+387500-1451+1451+195120-9977-110000-36468.14-1593991.61+1600337.95</f>
        <v>3610465.6799999997</v>
      </c>
      <c r="H53" s="247" t="s">
        <v>9</v>
      </c>
      <c r="I53" s="247"/>
      <c r="J53" s="247" t="s">
        <v>9</v>
      </c>
      <c r="K53" s="247"/>
      <c r="L53" s="137" t="s">
        <v>9</v>
      </c>
      <c r="M53" s="137" t="s">
        <v>9</v>
      </c>
      <c r="N53" s="137" t="s">
        <v>9</v>
      </c>
      <c r="O53" s="86"/>
      <c r="Q53" s="49" t="s">
        <v>297</v>
      </c>
      <c r="R53" s="134">
        <f>SUM(R54:R58)</f>
        <v>2196830</v>
      </c>
      <c r="T53" s="53" t="s">
        <v>308</v>
      </c>
      <c r="U53" s="173">
        <v>0</v>
      </c>
      <c r="V53" s="53">
        <v>0</v>
      </c>
    </row>
    <row r="54" spans="2:23" ht="15.75">
      <c r="B54" s="75">
        <v>119</v>
      </c>
      <c r="C54" s="75" t="s">
        <v>28</v>
      </c>
      <c r="D54" s="166" t="s">
        <v>215</v>
      </c>
      <c r="E54" s="75">
        <v>10</v>
      </c>
      <c r="F54" s="71"/>
      <c r="G54" s="170">
        <f>ROUND((F54*22%),2)</f>
        <v>0</v>
      </c>
      <c r="H54" s="247" t="s">
        <v>9</v>
      </c>
      <c r="I54" s="247"/>
      <c r="J54" s="247" t="s">
        <v>9</v>
      </c>
      <c r="K54" s="247"/>
      <c r="L54" s="137" t="s">
        <v>9</v>
      </c>
      <c r="M54" s="137" t="s">
        <v>9</v>
      </c>
      <c r="N54" s="137" t="s">
        <v>9</v>
      </c>
      <c r="O54" s="86"/>
      <c r="R54" s="119">
        <f>ROUND((R52*22%),0)</f>
        <v>1600339</v>
      </c>
      <c r="U54" s="173"/>
    </row>
    <row r="55" spans="2:23" ht="66" customHeight="1">
      <c r="B55" s="75">
        <v>119</v>
      </c>
      <c r="C55" s="75" t="s">
        <v>179</v>
      </c>
      <c r="D55" s="166" t="s">
        <v>30</v>
      </c>
      <c r="E55" s="75" t="s">
        <v>9</v>
      </c>
      <c r="F55" s="75" t="s">
        <v>9</v>
      </c>
      <c r="G55" s="170">
        <f>G56+G57</f>
        <v>707213.1</v>
      </c>
      <c r="H55" s="247" t="s">
        <v>9</v>
      </c>
      <c r="I55" s="247"/>
      <c r="J55" s="247" t="s">
        <v>9</v>
      </c>
      <c r="K55" s="247"/>
      <c r="L55" s="137" t="s">
        <v>9</v>
      </c>
      <c r="M55" s="137" t="s">
        <v>9</v>
      </c>
      <c r="N55" s="137" t="s">
        <v>9</v>
      </c>
      <c r="O55" s="86"/>
      <c r="R55" s="174"/>
      <c r="T55" s="100" t="s">
        <v>315</v>
      </c>
      <c r="U55" s="175"/>
    </row>
    <row r="56" spans="2:23" ht="102" customHeight="1">
      <c r="B56" s="75">
        <v>119</v>
      </c>
      <c r="C56" s="75" t="s">
        <v>31</v>
      </c>
      <c r="D56" s="166" t="s">
        <v>216</v>
      </c>
      <c r="E56" s="75">
        <v>2.9</v>
      </c>
      <c r="F56" s="74">
        <f>F53</f>
        <v>15175026.040000001</v>
      </c>
      <c r="G56" s="170">
        <f>ROUND((F56*2.9%),0)+3475-3475-20000+240252+9765-191+191+25720-1315-14500-4807-210117+210954</f>
        <v>676028</v>
      </c>
      <c r="H56" s="247" t="s">
        <v>9</v>
      </c>
      <c r="I56" s="247"/>
      <c r="J56" s="247" t="s">
        <v>9</v>
      </c>
      <c r="K56" s="247"/>
      <c r="L56" s="137" t="s">
        <v>9</v>
      </c>
      <c r="M56" s="137" t="s">
        <v>9</v>
      </c>
      <c r="N56" s="137" t="s">
        <v>9</v>
      </c>
      <c r="O56" s="86"/>
      <c r="R56" s="119">
        <f>ROUND((R52*2.9%),0)</f>
        <v>210954</v>
      </c>
      <c r="T56" s="100" t="s">
        <v>315</v>
      </c>
      <c r="U56" s="176">
        <v>4583128.6399999997</v>
      </c>
      <c r="W56" s="78"/>
    </row>
    <row r="57" spans="2:23" ht="84.75" customHeight="1">
      <c r="B57" s="75">
        <v>119</v>
      </c>
      <c r="C57" s="75" t="s">
        <v>32</v>
      </c>
      <c r="D57" s="163" t="s">
        <v>217</v>
      </c>
      <c r="E57" s="75">
        <v>0.2</v>
      </c>
      <c r="F57" s="74">
        <f>F53</f>
        <v>15175026.040000001</v>
      </c>
      <c r="G57" s="170">
        <f>ROUND((F57*0.2%),0)+240+60-240-306.9+673-13+13+1774-91-1000-332-14491+14549</f>
        <v>31185.1</v>
      </c>
      <c r="H57" s="247" t="s">
        <v>9</v>
      </c>
      <c r="I57" s="247"/>
      <c r="J57" s="247" t="s">
        <v>9</v>
      </c>
      <c r="K57" s="247"/>
      <c r="L57" s="137" t="s">
        <v>9</v>
      </c>
      <c r="M57" s="137" t="s">
        <v>9</v>
      </c>
      <c r="N57" s="137" t="s">
        <v>9</v>
      </c>
      <c r="O57" s="86"/>
      <c r="R57" s="119">
        <f>ROUND((R52*0.2%),0)</f>
        <v>14549</v>
      </c>
      <c r="T57" s="100" t="s">
        <v>294</v>
      </c>
      <c r="U57" s="177">
        <v>3200.04</v>
      </c>
    </row>
    <row r="58" spans="2:23" ht="82.5" customHeight="1">
      <c r="B58" s="75">
        <v>119</v>
      </c>
      <c r="C58" s="75" t="s">
        <v>184</v>
      </c>
      <c r="D58" s="55" t="s">
        <v>33</v>
      </c>
      <c r="E58" s="75">
        <v>5.0999999999999996</v>
      </c>
      <c r="F58" s="74">
        <f>F53</f>
        <v>15175026.040000001</v>
      </c>
      <c r="G58" s="102">
        <f>ROUND((F58*5.1%),0)+6110-529999.43-9000+17174.06-337+336+1.27+45233-2312-25500-8454-369516+370988</f>
        <v>268649.89999999991</v>
      </c>
      <c r="H58" s="266" t="s">
        <v>9</v>
      </c>
      <c r="I58" s="266"/>
      <c r="J58" s="266" t="s">
        <v>9</v>
      </c>
      <c r="K58" s="266"/>
      <c r="L58" s="137" t="s">
        <v>9</v>
      </c>
      <c r="M58" s="137" t="s">
        <v>9</v>
      </c>
      <c r="N58" s="137" t="s">
        <v>9</v>
      </c>
      <c r="O58" s="86"/>
      <c r="R58" s="119">
        <f>ROUND((R52*5.1%),0)</f>
        <v>370988</v>
      </c>
      <c r="T58" s="100" t="s">
        <v>7</v>
      </c>
      <c r="U58" s="178">
        <f>SUM(U55:U57)+U53</f>
        <v>4586328.68</v>
      </c>
    </row>
    <row r="59" spans="2:23" ht="15.75">
      <c r="B59" s="71"/>
      <c r="C59" s="166"/>
      <c r="D59" s="179" t="s">
        <v>23</v>
      </c>
      <c r="E59" s="139" t="s">
        <v>9</v>
      </c>
      <c r="F59" s="139" t="s">
        <v>9</v>
      </c>
      <c r="G59" s="89">
        <f>G58+G55+G52</f>
        <v>4586328.68</v>
      </c>
      <c r="H59" s="256">
        <f>U55+U56</f>
        <v>4583128.6399999997</v>
      </c>
      <c r="I59" s="257"/>
      <c r="J59" s="256">
        <f>U53</f>
        <v>0</v>
      </c>
      <c r="K59" s="256"/>
      <c r="L59" s="138">
        <v>0</v>
      </c>
      <c r="M59" s="138">
        <f>U57</f>
        <v>3200.04</v>
      </c>
      <c r="N59" s="138">
        <v>0</v>
      </c>
      <c r="O59" s="87"/>
      <c r="P59" s="87"/>
      <c r="Q59" s="96">
        <f>H59+J59+L59+M59</f>
        <v>4586328.68</v>
      </c>
      <c r="R59" s="96"/>
      <c r="S59" s="78">
        <f>Q59-G59</f>
        <v>0</v>
      </c>
      <c r="U59" s="53" t="b">
        <f>G59=U58</f>
        <v>1</v>
      </c>
    </row>
    <row r="60" spans="2:23" ht="15" customHeight="1">
      <c r="F60" s="78"/>
      <c r="G60" s="78"/>
      <c r="H60" s="78"/>
      <c r="N60" s="154"/>
      <c r="Q60" s="53" t="b">
        <f>G59=Q59</f>
        <v>1</v>
      </c>
      <c r="U60" s="78">
        <f>U58-G59</f>
        <v>0</v>
      </c>
    </row>
    <row r="61" spans="2:23" ht="36" customHeight="1">
      <c r="B61" s="267" t="s">
        <v>218</v>
      </c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76"/>
      <c r="O61" s="180"/>
      <c r="P61" s="180"/>
      <c r="Q61" s="180"/>
      <c r="R61" s="180"/>
    </row>
    <row r="62" spans="2:23" ht="15" customHeight="1"/>
    <row r="63" spans="2:23" ht="24" customHeight="1">
      <c r="B63" s="52"/>
      <c r="C63" s="236" t="s">
        <v>252</v>
      </c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52"/>
      <c r="O63" s="52"/>
      <c r="P63" s="52"/>
    </row>
    <row r="64" spans="2:23" ht="15.75" customHeight="1"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</row>
    <row r="65" spans="2:18" ht="38.25" customHeight="1">
      <c r="B65" s="240" t="s">
        <v>193</v>
      </c>
      <c r="C65" s="240" t="s">
        <v>2</v>
      </c>
      <c r="D65" s="240" t="s">
        <v>3</v>
      </c>
      <c r="E65" s="240" t="s">
        <v>219</v>
      </c>
      <c r="F65" s="240" t="s">
        <v>220</v>
      </c>
      <c r="G65" s="135" t="s">
        <v>221</v>
      </c>
      <c r="H65" s="240" t="s">
        <v>195</v>
      </c>
      <c r="I65" s="240"/>
      <c r="J65" s="240"/>
      <c r="K65" s="240"/>
      <c r="L65" s="240"/>
      <c r="M65" s="240"/>
      <c r="N65" s="240"/>
      <c r="O65" s="59"/>
      <c r="P65" s="59"/>
      <c r="Q65" s="59"/>
      <c r="R65" s="59"/>
    </row>
    <row r="66" spans="2:18" ht="84" customHeight="1">
      <c r="B66" s="240"/>
      <c r="C66" s="240"/>
      <c r="D66" s="240"/>
      <c r="E66" s="240"/>
      <c r="F66" s="240"/>
      <c r="G66" s="240" t="s">
        <v>241</v>
      </c>
      <c r="H66" s="240" t="s">
        <v>196</v>
      </c>
      <c r="I66" s="240"/>
      <c r="J66" s="253" t="s">
        <v>197</v>
      </c>
      <c r="K66" s="253"/>
      <c r="L66" s="242" t="s">
        <v>198</v>
      </c>
      <c r="M66" s="242" t="s">
        <v>199</v>
      </c>
      <c r="N66" s="242"/>
      <c r="O66" s="59"/>
      <c r="P66" s="59"/>
      <c r="Q66" s="59"/>
      <c r="R66" s="59"/>
    </row>
    <row r="67" spans="2:18" ht="35.25" customHeight="1">
      <c r="B67" s="240"/>
      <c r="C67" s="240"/>
      <c r="D67" s="240"/>
      <c r="E67" s="240"/>
      <c r="F67" s="240"/>
      <c r="G67" s="240"/>
      <c r="H67" s="240"/>
      <c r="I67" s="240"/>
      <c r="J67" s="253"/>
      <c r="K67" s="253"/>
      <c r="L67" s="242"/>
      <c r="M67" s="136" t="s">
        <v>14</v>
      </c>
      <c r="N67" s="136" t="s">
        <v>200</v>
      </c>
      <c r="O67" s="142"/>
      <c r="P67" s="142"/>
      <c r="Q67" s="63"/>
      <c r="R67" s="63"/>
    </row>
    <row r="68" spans="2:18" ht="15.75" customHeight="1">
      <c r="B68" s="135">
        <v>1</v>
      </c>
      <c r="C68" s="135">
        <v>2</v>
      </c>
      <c r="D68" s="135">
        <v>3</v>
      </c>
      <c r="E68" s="135">
        <v>4</v>
      </c>
      <c r="F68" s="135">
        <v>5</v>
      </c>
      <c r="G68" s="135">
        <v>6</v>
      </c>
      <c r="H68" s="240">
        <v>7</v>
      </c>
      <c r="I68" s="240"/>
      <c r="J68" s="240">
        <v>8</v>
      </c>
      <c r="K68" s="240"/>
      <c r="L68" s="136">
        <v>9</v>
      </c>
      <c r="M68" s="136">
        <v>10</v>
      </c>
      <c r="N68" s="136">
        <v>11</v>
      </c>
      <c r="O68" s="142"/>
      <c r="P68" s="142"/>
      <c r="Q68" s="63"/>
      <c r="R68" s="63"/>
    </row>
    <row r="69" spans="2:18" ht="15.75" customHeight="1">
      <c r="B69" s="93"/>
      <c r="C69" s="64"/>
      <c r="D69" s="55"/>
      <c r="E69" s="132"/>
      <c r="F69" s="132"/>
      <c r="G69" s="132"/>
      <c r="H69" s="233" t="s">
        <v>9</v>
      </c>
      <c r="I69" s="233"/>
      <c r="J69" s="233" t="s">
        <v>9</v>
      </c>
      <c r="K69" s="233"/>
      <c r="L69" s="75" t="s">
        <v>9</v>
      </c>
      <c r="M69" s="75" t="s">
        <v>9</v>
      </c>
      <c r="N69" s="75" t="s">
        <v>9</v>
      </c>
      <c r="O69" s="69"/>
      <c r="P69" s="69"/>
      <c r="Q69" s="63"/>
      <c r="R69" s="63"/>
    </row>
    <row r="70" spans="2:18" ht="15.75">
      <c r="B70" s="132"/>
      <c r="C70" s="55"/>
      <c r="D70" s="60" t="s">
        <v>23</v>
      </c>
      <c r="E70" s="140" t="s">
        <v>9</v>
      </c>
      <c r="F70" s="140" t="s">
        <v>9</v>
      </c>
      <c r="G70" s="140"/>
      <c r="H70" s="268"/>
      <c r="I70" s="268"/>
      <c r="J70" s="268"/>
      <c r="K70" s="268"/>
      <c r="L70" s="139"/>
      <c r="M70" s="139"/>
      <c r="N70" s="139"/>
      <c r="O70" s="59"/>
      <c r="P70" s="59"/>
      <c r="Q70" s="63"/>
      <c r="R70" s="63"/>
    </row>
    <row r="71" spans="2:18" ht="15" customHeight="1">
      <c r="N71" s="154"/>
    </row>
    <row r="72" spans="2:18" ht="24" customHeight="1">
      <c r="B72" s="52"/>
      <c r="C72" s="236" t="s">
        <v>250</v>
      </c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52"/>
      <c r="P72" s="52"/>
    </row>
    <row r="73" spans="2:18" ht="5.25" customHeight="1">
      <c r="B73" s="52"/>
      <c r="C73" s="52"/>
      <c r="D73" s="52"/>
      <c r="E73" s="52"/>
      <c r="F73" s="54"/>
      <c r="G73" s="54"/>
      <c r="H73" s="54"/>
      <c r="I73" s="54"/>
      <c r="J73" s="54"/>
      <c r="K73" s="54"/>
      <c r="L73" s="54"/>
      <c r="M73" s="54"/>
      <c r="N73" s="52"/>
      <c r="O73" s="52"/>
      <c r="P73" s="52"/>
    </row>
    <row r="74" spans="2:18" ht="21.75" customHeight="1">
      <c r="B74" s="52"/>
      <c r="C74" s="236" t="s">
        <v>258</v>
      </c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52"/>
      <c r="P74" s="52"/>
    </row>
    <row r="75" spans="2:18" ht="15.75" customHeight="1"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</row>
    <row r="76" spans="2:18" ht="21" customHeight="1">
      <c r="B76" s="240" t="s">
        <v>193</v>
      </c>
      <c r="C76" s="240" t="s">
        <v>2</v>
      </c>
      <c r="D76" s="240" t="s">
        <v>24</v>
      </c>
      <c r="E76" s="269" t="s">
        <v>222</v>
      </c>
      <c r="F76" s="270"/>
      <c r="G76" s="240" t="s">
        <v>223</v>
      </c>
      <c r="H76" s="275" t="s">
        <v>251</v>
      </c>
      <c r="I76" s="240" t="s">
        <v>195</v>
      </c>
      <c r="J76" s="240"/>
      <c r="K76" s="240"/>
      <c r="L76" s="240"/>
      <c r="M76" s="240"/>
      <c r="N76" s="240"/>
      <c r="O76" s="240"/>
      <c r="P76" s="59"/>
      <c r="Q76" s="59"/>
      <c r="R76" s="59"/>
    </row>
    <row r="77" spans="2:18" ht="81" customHeight="1">
      <c r="B77" s="240"/>
      <c r="C77" s="240"/>
      <c r="D77" s="240"/>
      <c r="E77" s="271"/>
      <c r="F77" s="272"/>
      <c r="G77" s="240"/>
      <c r="H77" s="276"/>
      <c r="I77" s="240" t="s">
        <v>196</v>
      </c>
      <c r="J77" s="240"/>
      <c r="K77" s="253" t="s">
        <v>197</v>
      </c>
      <c r="L77" s="253"/>
      <c r="M77" s="242" t="s">
        <v>198</v>
      </c>
      <c r="N77" s="242" t="s">
        <v>199</v>
      </c>
      <c r="O77" s="242"/>
      <c r="P77" s="91"/>
      <c r="Q77" s="59"/>
      <c r="R77" s="59"/>
    </row>
    <row r="78" spans="2:18" ht="31.5">
      <c r="B78" s="240"/>
      <c r="C78" s="240"/>
      <c r="D78" s="240"/>
      <c r="E78" s="273"/>
      <c r="F78" s="274"/>
      <c r="G78" s="240"/>
      <c r="H78" s="141" t="s">
        <v>241</v>
      </c>
      <c r="I78" s="240"/>
      <c r="J78" s="240"/>
      <c r="K78" s="253"/>
      <c r="L78" s="253"/>
      <c r="M78" s="242"/>
      <c r="N78" s="136" t="s">
        <v>14</v>
      </c>
      <c r="O78" s="136" t="s">
        <v>200</v>
      </c>
      <c r="P78" s="91"/>
      <c r="Q78" s="142"/>
      <c r="R78" s="142"/>
    </row>
    <row r="79" spans="2:18" ht="15.75" customHeight="1">
      <c r="B79" s="135">
        <v>1</v>
      </c>
      <c r="C79" s="135">
        <v>2</v>
      </c>
      <c r="D79" s="135">
        <v>3</v>
      </c>
      <c r="E79" s="61">
        <v>4</v>
      </c>
      <c r="F79" s="62"/>
      <c r="G79" s="135">
        <v>5</v>
      </c>
      <c r="H79" s="149">
        <v>7</v>
      </c>
      <c r="I79" s="240">
        <v>8</v>
      </c>
      <c r="J79" s="240"/>
      <c r="K79" s="240">
        <v>9</v>
      </c>
      <c r="L79" s="240"/>
      <c r="M79" s="136">
        <v>10</v>
      </c>
      <c r="N79" s="136">
        <v>11</v>
      </c>
      <c r="O79" s="136">
        <v>12</v>
      </c>
      <c r="P79" s="91"/>
      <c r="Q79" s="142"/>
      <c r="R79" s="142"/>
    </row>
    <row r="80" spans="2:18" ht="31.5">
      <c r="B80" s="132">
        <v>851</v>
      </c>
      <c r="C80" s="132" t="s">
        <v>201</v>
      </c>
      <c r="D80" s="56" t="s">
        <v>269</v>
      </c>
      <c r="E80" s="278">
        <f>ROUND((H80*100/G80),0)</f>
        <v>5545455</v>
      </c>
      <c r="F80" s="279"/>
      <c r="G80" s="132">
        <v>2.2000000000000002</v>
      </c>
      <c r="H80" s="181">
        <v>122000</v>
      </c>
      <c r="I80" s="234" t="s">
        <v>9</v>
      </c>
      <c r="J80" s="235"/>
      <c r="K80" s="234" t="s">
        <v>9</v>
      </c>
      <c r="L80" s="235"/>
      <c r="M80" s="130" t="s">
        <v>9</v>
      </c>
      <c r="N80" s="132" t="s">
        <v>9</v>
      </c>
      <c r="O80" s="132" t="s">
        <v>9</v>
      </c>
      <c r="Q80" s="53">
        <f>E80*G80%</f>
        <v>122000.01000000001</v>
      </c>
    </row>
    <row r="81" spans="2:18" ht="15.75" hidden="1">
      <c r="B81" s="132">
        <v>851</v>
      </c>
      <c r="C81" s="132" t="s">
        <v>179</v>
      </c>
      <c r="D81" s="56" t="s">
        <v>270</v>
      </c>
      <c r="E81" s="234">
        <f>1969256+1463367+471605+544326+629369</f>
        <v>5077923</v>
      </c>
      <c r="F81" s="235"/>
      <c r="G81" s="132">
        <v>1.5</v>
      </c>
      <c r="H81" s="181">
        <v>0</v>
      </c>
      <c r="I81" s="234" t="s">
        <v>9</v>
      </c>
      <c r="J81" s="235"/>
      <c r="K81" s="234" t="s">
        <v>9</v>
      </c>
      <c r="L81" s="235"/>
      <c r="M81" s="130" t="s">
        <v>9</v>
      </c>
      <c r="N81" s="132" t="s">
        <v>9</v>
      </c>
      <c r="O81" s="132" t="s">
        <v>9</v>
      </c>
    </row>
    <row r="82" spans="2:18" ht="15.75">
      <c r="B82" s="132"/>
      <c r="C82" s="55"/>
      <c r="D82" s="60" t="s">
        <v>23</v>
      </c>
      <c r="E82" s="280" t="s">
        <v>9</v>
      </c>
      <c r="F82" s="281"/>
      <c r="G82" s="140" t="s">
        <v>9</v>
      </c>
      <c r="H82" s="152">
        <f>SUM(H80:H81)</f>
        <v>122000</v>
      </c>
      <c r="I82" s="282">
        <f>H82</f>
        <v>122000</v>
      </c>
      <c r="J82" s="282"/>
      <c r="K82" s="239">
        <v>0</v>
      </c>
      <c r="L82" s="239"/>
      <c r="M82" s="138">
        <v>0</v>
      </c>
      <c r="N82" s="138">
        <v>0</v>
      </c>
      <c r="O82" s="138">
        <v>0</v>
      </c>
      <c r="P82" s="70"/>
      <c r="Q82" s="49" t="s">
        <v>319</v>
      </c>
      <c r="R82" s="58"/>
    </row>
    <row r="83" spans="2:18" ht="15" customHeight="1">
      <c r="O83" s="154"/>
      <c r="P83" s="154"/>
      <c r="Q83" s="154"/>
      <c r="R83" s="154"/>
    </row>
    <row r="84" spans="2:18" ht="21" customHeight="1">
      <c r="B84" s="52"/>
      <c r="C84" s="236" t="s">
        <v>259</v>
      </c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52"/>
      <c r="O84" s="52"/>
      <c r="P84" s="52"/>
    </row>
    <row r="85" spans="2:18" ht="15.75" customHeight="1"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</row>
    <row r="86" spans="2:18" ht="31.5" customHeight="1">
      <c r="B86" s="240" t="s">
        <v>193</v>
      </c>
      <c r="C86" s="240" t="s">
        <v>2</v>
      </c>
      <c r="D86" s="240" t="s">
        <v>24</v>
      </c>
      <c r="E86" s="275" t="s">
        <v>224</v>
      </c>
      <c r="F86" s="240" t="s">
        <v>195</v>
      </c>
      <c r="G86" s="240"/>
      <c r="H86" s="240"/>
      <c r="I86" s="240"/>
      <c r="J86" s="240"/>
      <c r="K86" s="240"/>
      <c r="L86" s="240"/>
      <c r="M86" s="59"/>
      <c r="N86" s="59"/>
      <c r="O86" s="59"/>
      <c r="P86" s="59"/>
    </row>
    <row r="87" spans="2:18" ht="99" customHeight="1">
      <c r="B87" s="240"/>
      <c r="C87" s="240"/>
      <c r="D87" s="240"/>
      <c r="E87" s="277"/>
      <c r="F87" s="240" t="s">
        <v>196</v>
      </c>
      <c r="G87" s="240"/>
      <c r="H87" s="253" t="s">
        <v>197</v>
      </c>
      <c r="I87" s="253"/>
      <c r="J87" s="242" t="s">
        <v>198</v>
      </c>
      <c r="K87" s="242" t="s">
        <v>199</v>
      </c>
      <c r="L87" s="242"/>
      <c r="M87" s="59"/>
      <c r="N87" s="264"/>
      <c r="O87" s="264"/>
      <c r="P87" s="142"/>
    </row>
    <row r="88" spans="2:18" ht="31.5">
      <c r="B88" s="240"/>
      <c r="C88" s="240"/>
      <c r="D88" s="240"/>
      <c r="E88" s="276"/>
      <c r="F88" s="240"/>
      <c r="G88" s="240"/>
      <c r="H88" s="253"/>
      <c r="I88" s="253"/>
      <c r="J88" s="242"/>
      <c r="K88" s="136" t="s">
        <v>14</v>
      </c>
      <c r="L88" s="136" t="s">
        <v>200</v>
      </c>
      <c r="M88" s="59"/>
      <c r="N88" s="142"/>
      <c r="O88" s="142"/>
      <c r="P88" s="142"/>
    </row>
    <row r="89" spans="2:18" ht="15.75" customHeight="1">
      <c r="B89" s="135">
        <v>1</v>
      </c>
      <c r="C89" s="135">
        <v>2</v>
      </c>
      <c r="D89" s="135">
        <v>3</v>
      </c>
      <c r="E89" s="135">
        <v>4</v>
      </c>
      <c r="F89" s="240">
        <v>5</v>
      </c>
      <c r="G89" s="240"/>
      <c r="H89" s="240">
        <v>6</v>
      </c>
      <c r="I89" s="240"/>
      <c r="J89" s="136">
        <v>7</v>
      </c>
      <c r="K89" s="136">
        <v>8</v>
      </c>
      <c r="L89" s="136">
        <v>9</v>
      </c>
      <c r="M89" s="59"/>
      <c r="N89" s="142"/>
      <c r="O89" s="142"/>
      <c r="P89" s="142"/>
    </row>
    <row r="90" spans="2:18" ht="15.75">
      <c r="B90" s="84">
        <v>852</v>
      </c>
      <c r="C90" s="144">
        <v>1</v>
      </c>
      <c r="D90" s="56" t="s">
        <v>390</v>
      </c>
      <c r="E90" s="144">
        <v>0</v>
      </c>
      <c r="F90" s="283" t="s">
        <v>9</v>
      </c>
      <c r="G90" s="283"/>
      <c r="H90" s="283" t="s">
        <v>9</v>
      </c>
      <c r="I90" s="283"/>
      <c r="J90" s="75" t="s">
        <v>9</v>
      </c>
      <c r="K90" s="75" t="s">
        <v>9</v>
      </c>
      <c r="L90" s="75" t="s">
        <v>9</v>
      </c>
      <c r="M90" s="59"/>
      <c r="N90" s="69"/>
      <c r="O90" s="69"/>
      <c r="P90" s="69"/>
    </row>
    <row r="91" spans="2:18" ht="15.75" customHeight="1">
      <c r="B91" s="84"/>
      <c r="C91" s="65"/>
      <c r="D91" s="60" t="s">
        <v>23</v>
      </c>
      <c r="E91" s="147">
        <f>SUM(E90)</f>
        <v>0</v>
      </c>
      <c r="F91" s="284">
        <f>E91</f>
        <v>0</v>
      </c>
      <c r="G91" s="285"/>
      <c r="H91" s="286">
        <v>0</v>
      </c>
      <c r="I91" s="286"/>
      <c r="J91" s="138">
        <v>0</v>
      </c>
      <c r="K91" s="138">
        <v>0</v>
      </c>
      <c r="L91" s="138">
        <v>0</v>
      </c>
      <c r="M91" s="59"/>
      <c r="N91" s="59"/>
      <c r="O91" s="59"/>
      <c r="P91" s="59"/>
      <c r="Q91" s="49" t="s">
        <v>320</v>
      </c>
    </row>
    <row r="92" spans="2:18" ht="15.75"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</row>
    <row r="93" spans="2:18" ht="15.75" customHeight="1">
      <c r="B93" s="52"/>
      <c r="C93" s="287" t="s">
        <v>260</v>
      </c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52"/>
      <c r="O93" s="52"/>
      <c r="P93" s="52"/>
    </row>
    <row r="94" spans="2:18" ht="15.75"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</row>
    <row r="95" spans="2:18" ht="31.5" customHeight="1">
      <c r="B95" s="240" t="s">
        <v>193</v>
      </c>
      <c r="C95" s="240" t="s">
        <v>2</v>
      </c>
      <c r="D95" s="288" t="s">
        <v>24</v>
      </c>
      <c r="E95" s="275" t="s">
        <v>224</v>
      </c>
      <c r="F95" s="240" t="s">
        <v>195</v>
      </c>
      <c r="G95" s="240"/>
      <c r="H95" s="240"/>
      <c r="I95" s="240"/>
      <c r="J95" s="240"/>
      <c r="K95" s="240"/>
      <c r="L95" s="240"/>
      <c r="M95" s="59"/>
      <c r="N95" s="59"/>
      <c r="O95" s="59"/>
      <c r="P95" s="59"/>
    </row>
    <row r="96" spans="2:18" ht="99" customHeight="1">
      <c r="B96" s="240"/>
      <c r="C96" s="240"/>
      <c r="D96" s="288"/>
      <c r="E96" s="277"/>
      <c r="F96" s="240" t="s">
        <v>196</v>
      </c>
      <c r="G96" s="240"/>
      <c r="H96" s="253" t="s">
        <v>197</v>
      </c>
      <c r="I96" s="253"/>
      <c r="J96" s="242" t="s">
        <v>198</v>
      </c>
      <c r="K96" s="242" t="s">
        <v>199</v>
      </c>
      <c r="L96" s="242"/>
      <c r="M96" s="59"/>
      <c r="N96" s="264"/>
      <c r="O96" s="264"/>
      <c r="P96" s="142"/>
    </row>
    <row r="97" spans="2:20" ht="31.5" customHeight="1">
      <c r="B97" s="240"/>
      <c r="C97" s="240"/>
      <c r="D97" s="288"/>
      <c r="E97" s="276"/>
      <c r="F97" s="240"/>
      <c r="G97" s="240"/>
      <c r="H97" s="253"/>
      <c r="I97" s="253"/>
      <c r="J97" s="242"/>
      <c r="K97" s="136" t="s">
        <v>14</v>
      </c>
      <c r="L97" s="136" t="s">
        <v>200</v>
      </c>
      <c r="M97" s="59"/>
      <c r="N97" s="142"/>
      <c r="O97" s="142"/>
      <c r="P97" s="142"/>
      <c r="Q97" s="49" t="s">
        <v>321</v>
      </c>
      <c r="S97" s="53" t="s">
        <v>357</v>
      </c>
    </row>
    <row r="98" spans="2:20" ht="15.75">
      <c r="B98" s="135">
        <v>1</v>
      </c>
      <c r="C98" s="135">
        <v>2</v>
      </c>
      <c r="D98" s="146">
        <v>3</v>
      </c>
      <c r="E98" s="135">
        <v>4</v>
      </c>
      <c r="F98" s="240">
        <v>5</v>
      </c>
      <c r="G98" s="240"/>
      <c r="H98" s="240">
        <v>6</v>
      </c>
      <c r="I98" s="240"/>
      <c r="J98" s="136">
        <v>7</v>
      </c>
      <c r="K98" s="136">
        <v>8</v>
      </c>
      <c r="L98" s="136">
        <v>9</v>
      </c>
      <c r="M98" s="59"/>
      <c r="N98" s="142"/>
      <c r="O98" s="142"/>
      <c r="P98" s="142"/>
    </row>
    <row r="99" spans="2:20" ht="15.75">
      <c r="B99" s="135">
        <v>853</v>
      </c>
      <c r="C99" s="135">
        <v>1</v>
      </c>
      <c r="D99" s="200" t="s">
        <v>422</v>
      </c>
      <c r="E99" s="135">
        <v>0</v>
      </c>
      <c r="F99" s="254" t="s">
        <v>337</v>
      </c>
      <c r="G99" s="255"/>
      <c r="H99" s="254" t="s">
        <v>337</v>
      </c>
      <c r="I99" s="255"/>
      <c r="J99" s="136" t="s">
        <v>337</v>
      </c>
      <c r="K99" s="136" t="s">
        <v>337</v>
      </c>
      <c r="L99" s="136" t="s">
        <v>337</v>
      </c>
      <c r="M99" s="59"/>
      <c r="N99" s="142"/>
      <c r="O99" s="142"/>
      <c r="P99" s="142"/>
      <c r="S99" s="53" t="s">
        <v>358</v>
      </c>
      <c r="T99" s="53">
        <v>0</v>
      </c>
    </row>
    <row r="100" spans="2:20" ht="34.5" hidden="1" customHeight="1">
      <c r="B100" s="132">
        <v>853</v>
      </c>
      <c r="C100" s="132">
        <v>2</v>
      </c>
      <c r="D100" s="83"/>
      <c r="E100" s="150">
        <v>0</v>
      </c>
      <c r="F100" s="283" t="s">
        <v>9</v>
      </c>
      <c r="G100" s="283"/>
      <c r="H100" s="283" t="s">
        <v>9</v>
      </c>
      <c r="I100" s="283"/>
      <c r="J100" s="75" t="s">
        <v>9</v>
      </c>
      <c r="K100" s="75" t="s">
        <v>9</v>
      </c>
      <c r="L100" s="75" t="s">
        <v>9</v>
      </c>
      <c r="M100" s="59"/>
      <c r="N100" s="69"/>
      <c r="O100" s="69"/>
      <c r="P100" s="69"/>
      <c r="Q100" s="49" t="s">
        <v>298</v>
      </c>
      <c r="R100" s="49"/>
      <c r="S100" s="85" t="s">
        <v>359</v>
      </c>
      <c r="T100" s="53">
        <f>SUM(T97:T99)</f>
        <v>0</v>
      </c>
    </row>
    <row r="101" spans="2:20" ht="15.75">
      <c r="B101" s="132"/>
      <c r="C101" s="65"/>
      <c r="D101" s="60" t="s">
        <v>23</v>
      </c>
      <c r="E101" s="147">
        <f>SUM(E99:E100)</f>
        <v>0</v>
      </c>
      <c r="F101" s="284">
        <v>0</v>
      </c>
      <c r="G101" s="285"/>
      <c r="H101" s="286">
        <v>0</v>
      </c>
      <c r="I101" s="286"/>
      <c r="J101" s="138">
        <v>0</v>
      </c>
      <c r="K101" s="138">
        <v>0</v>
      </c>
      <c r="L101" s="138">
        <v>0</v>
      </c>
      <c r="M101" s="59"/>
      <c r="N101" s="59"/>
      <c r="O101" s="59"/>
      <c r="P101" s="59"/>
    </row>
    <row r="102" spans="2:20" ht="15" customHeight="1">
      <c r="L102" s="154"/>
      <c r="Q102" s="53" t="b">
        <f>E101=T100</f>
        <v>1</v>
      </c>
    </row>
    <row r="103" spans="2:20" ht="24.75" customHeight="1">
      <c r="B103" s="52"/>
      <c r="C103" s="236" t="s">
        <v>284</v>
      </c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52"/>
      <c r="O103" s="52"/>
    </row>
    <row r="104" spans="2:20" ht="7.5" customHeight="1">
      <c r="B104" s="52"/>
      <c r="C104" s="52"/>
      <c r="D104" s="52"/>
      <c r="E104" s="54"/>
      <c r="F104" s="54"/>
      <c r="G104" s="54"/>
      <c r="H104" s="54"/>
      <c r="I104" s="54"/>
      <c r="J104" s="54"/>
      <c r="K104" s="54"/>
      <c r="L104" s="54"/>
      <c r="M104" s="54"/>
      <c r="N104" s="52"/>
      <c r="O104" s="52"/>
    </row>
    <row r="105" spans="2:20" ht="23.25" customHeight="1">
      <c r="B105" s="52"/>
      <c r="C105" s="236" t="s">
        <v>285</v>
      </c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52"/>
      <c r="O105" s="52"/>
    </row>
    <row r="106" spans="2:20" ht="15.75"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</row>
    <row r="107" spans="2:20" ht="31.5" customHeight="1">
      <c r="B107" s="240" t="s">
        <v>193</v>
      </c>
      <c r="C107" s="240" t="s">
        <v>2</v>
      </c>
      <c r="D107" s="240" t="s">
        <v>3</v>
      </c>
      <c r="E107" s="240" t="s">
        <v>225</v>
      </c>
      <c r="F107" s="240" t="s">
        <v>226</v>
      </c>
      <c r="G107" s="135" t="s">
        <v>227</v>
      </c>
      <c r="H107" s="240" t="s">
        <v>195</v>
      </c>
      <c r="I107" s="240"/>
      <c r="J107" s="240"/>
      <c r="K107" s="240"/>
      <c r="L107" s="240"/>
      <c r="M107" s="240"/>
      <c r="N107" s="240"/>
      <c r="O107" s="240"/>
    </row>
    <row r="108" spans="2:20" ht="99" customHeight="1">
      <c r="B108" s="240"/>
      <c r="C108" s="240"/>
      <c r="D108" s="240"/>
      <c r="E108" s="240"/>
      <c r="F108" s="240"/>
      <c r="G108" s="240" t="s">
        <v>241</v>
      </c>
      <c r="H108" s="240" t="s">
        <v>196</v>
      </c>
      <c r="I108" s="240"/>
      <c r="J108" s="253" t="s">
        <v>197</v>
      </c>
      <c r="K108" s="253"/>
      <c r="L108" s="240" t="s">
        <v>198</v>
      </c>
      <c r="M108" s="240"/>
      <c r="N108" s="240" t="s">
        <v>199</v>
      </c>
      <c r="O108" s="240"/>
    </row>
    <row r="109" spans="2:20" ht="31.5">
      <c r="B109" s="240"/>
      <c r="C109" s="240"/>
      <c r="D109" s="240"/>
      <c r="E109" s="240"/>
      <c r="F109" s="240"/>
      <c r="G109" s="240"/>
      <c r="H109" s="240"/>
      <c r="I109" s="240"/>
      <c r="J109" s="253"/>
      <c r="K109" s="253"/>
      <c r="L109" s="240"/>
      <c r="M109" s="240"/>
      <c r="N109" s="135" t="s">
        <v>14</v>
      </c>
      <c r="O109" s="135" t="s">
        <v>200</v>
      </c>
    </row>
    <row r="110" spans="2:20" ht="15.75">
      <c r="B110" s="135">
        <v>1</v>
      </c>
      <c r="C110" s="135">
        <v>2</v>
      </c>
      <c r="D110" s="135">
        <v>3</v>
      </c>
      <c r="E110" s="135">
        <v>4</v>
      </c>
      <c r="F110" s="135">
        <v>5</v>
      </c>
      <c r="G110" s="135">
        <v>6</v>
      </c>
      <c r="H110" s="240">
        <v>7</v>
      </c>
      <c r="I110" s="240"/>
      <c r="J110" s="240">
        <v>8</v>
      </c>
      <c r="K110" s="240"/>
      <c r="L110" s="240">
        <v>9</v>
      </c>
      <c r="M110" s="240"/>
      <c r="N110" s="135">
        <v>10</v>
      </c>
      <c r="O110" s="135">
        <v>11</v>
      </c>
    </row>
    <row r="111" spans="2:20" ht="15.75">
      <c r="B111" s="55"/>
      <c r="C111" s="144" t="s">
        <v>201</v>
      </c>
      <c r="D111" s="56"/>
      <c r="E111" s="144"/>
      <c r="F111" s="144"/>
      <c r="G111" s="55"/>
      <c r="H111" s="289" t="s">
        <v>9</v>
      </c>
      <c r="I111" s="290"/>
      <c r="J111" s="289" t="s">
        <v>9</v>
      </c>
      <c r="K111" s="290"/>
      <c r="L111" s="289" t="s">
        <v>9</v>
      </c>
      <c r="M111" s="290"/>
      <c r="N111" s="144" t="s">
        <v>9</v>
      </c>
      <c r="O111" s="144" t="s">
        <v>9</v>
      </c>
    </row>
    <row r="112" spans="2:20" ht="15.75">
      <c r="B112" s="55"/>
      <c r="C112" s="144"/>
      <c r="D112" s="60" t="s">
        <v>23</v>
      </c>
      <c r="E112" s="148" t="s">
        <v>9</v>
      </c>
      <c r="F112" s="148" t="s">
        <v>9</v>
      </c>
      <c r="G112" s="145">
        <f>SUM(G111)</f>
        <v>0</v>
      </c>
      <c r="H112" s="286">
        <v>0</v>
      </c>
      <c r="I112" s="286"/>
      <c r="J112" s="286">
        <v>0</v>
      </c>
      <c r="K112" s="286"/>
      <c r="L112" s="286">
        <v>0</v>
      </c>
      <c r="M112" s="286"/>
      <c r="N112" s="145">
        <v>0</v>
      </c>
      <c r="O112" s="145">
        <v>0</v>
      </c>
    </row>
    <row r="113" spans="2:18" ht="15.75"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</row>
    <row r="114" spans="2:18" ht="43.5" customHeight="1">
      <c r="B114" s="52"/>
      <c r="C114" s="236" t="s">
        <v>286</v>
      </c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52"/>
      <c r="O114" s="52"/>
    </row>
    <row r="115" spans="2:18" ht="17.25" customHeight="1">
      <c r="B115" s="52"/>
      <c r="C115" s="52"/>
      <c r="D115" s="52"/>
      <c r="E115" s="133"/>
      <c r="F115" s="151"/>
      <c r="G115" s="151"/>
      <c r="H115" s="151"/>
      <c r="I115" s="151"/>
      <c r="J115" s="151"/>
      <c r="K115" s="151"/>
      <c r="L115" s="151"/>
      <c r="M115" s="151"/>
      <c r="N115" s="52"/>
      <c r="O115" s="52"/>
    </row>
    <row r="116" spans="2:18" ht="63" customHeight="1">
      <c r="B116" s="240" t="s">
        <v>193</v>
      </c>
      <c r="C116" s="240" t="s">
        <v>2</v>
      </c>
      <c r="D116" s="240" t="s">
        <v>3</v>
      </c>
      <c r="E116" s="240" t="s">
        <v>219</v>
      </c>
      <c r="F116" s="240" t="s">
        <v>34</v>
      </c>
      <c r="G116" s="135" t="s">
        <v>221</v>
      </c>
      <c r="H116" s="240" t="s">
        <v>195</v>
      </c>
      <c r="I116" s="240"/>
      <c r="J116" s="240"/>
      <c r="K116" s="240"/>
      <c r="L116" s="240"/>
      <c r="M116" s="240"/>
      <c r="N116" s="240"/>
      <c r="O116" s="240"/>
    </row>
    <row r="117" spans="2:18" ht="99" customHeight="1">
      <c r="B117" s="240"/>
      <c r="C117" s="240"/>
      <c r="D117" s="240"/>
      <c r="E117" s="240"/>
      <c r="F117" s="240"/>
      <c r="G117" s="240" t="s">
        <v>241</v>
      </c>
      <c r="H117" s="240" t="s">
        <v>196</v>
      </c>
      <c r="I117" s="240"/>
      <c r="J117" s="253" t="s">
        <v>197</v>
      </c>
      <c r="K117" s="253"/>
      <c r="L117" s="240" t="s">
        <v>198</v>
      </c>
      <c r="M117" s="240"/>
      <c r="N117" s="240" t="s">
        <v>199</v>
      </c>
      <c r="O117" s="240"/>
    </row>
    <row r="118" spans="2:18" ht="31.5">
      <c r="B118" s="240"/>
      <c r="C118" s="240"/>
      <c r="D118" s="240"/>
      <c r="E118" s="240"/>
      <c r="F118" s="240"/>
      <c r="G118" s="240"/>
      <c r="H118" s="240"/>
      <c r="I118" s="240"/>
      <c r="J118" s="253"/>
      <c r="K118" s="253"/>
      <c r="L118" s="240"/>
      <c r="M118" s="240"/>
      <c r="N118" s="135" t="s">
        <v>14</v>
      </c>
      <c r="O118" s="135" t="s">
        <v>200</v>
      </c>
    </row>
    <row r="119" spans="2:18" ht="15.75">
      <c r="B119" s="135">
        <v>1</v>
      </c>
      <c r="C119" s="135">
        <v>2</v>
      </c>
      <c r="D119" s="135">
        <v>3</v>
      </c>
      <c r="E119" s="135">
        <v>4</v>
      </c>
      <c r="F119" s="135">
        <v>5</v>
      </c>
      <c r="G119" s="135">
        <v>6</v>
      </c>
      <c r="H119" s="240">
        <v>7</v>
      </c>
      <c r="I119" s="240"/>
      <c r="J119" s="240">
        <v>8</v>
      </c>
      <c r="K119" s="240"/>
      <c r="L119" s="240">
        <v>9</v>
      </c>
      <c r="M119" s="240"/>
      <c r="N119" s="135">
        <v>10</v>
      </c>
      <c r="O119" s="135">
        <v>11</v>
      </c>
    </row>
    <row r="120" spans="2:18" ht="18" customHeight="1">
      <c r="B120" s="55"/>
      <c r="C120" s="132" t="s">
        <v>201</v>
      </c>
      <c r="D120" s="55"/>
      <c r="E120" s="56"/>
      <c r="F120" s="56"/>
      <c r="G120" s="56"/>
      <c r="H120" s="283" t="s">
        <v>9</v>
      </c>
      <c r="I120" s="283"/>
      <c r="J120" s="283" t="s">
        <v>9</v>
      </c>
      <c r="K120" s="283"/>
      <c r="L120" s="283" t="s">
        <v>9</v>
      </c>
      <c r="M120" s="283"/>
      <c r="N120" s="144" t="s">
        <v>9</v>
      </c>
      <c r="O120" s="144" t="s">
        <v>9</v>
      </c>
    </row>
    <row r="121" spans="2:18" ht="15.75">
      <c r="B121" s="55"/>
      <c r="C121" s="144"/>
      <c r="D121" s="60" t="s">
        <v>23</v>
      </c>
      <c r="E121" s="148" t="s">
        <v>9</v>
      </c>
      <c r="F121" s="148" t="s">
        <v>9</v>
      </c>
      <c r="G121" s="145">
        <f>SUM(G120)</f>
        <v>0</v>
      </c>
      <c r="H121" s="286">
        <v>0</v>
      </c>
      <c r="I121" s="286"/>
      <c r="J121" s="286">
        <v>0</v>
      </c>
      <c r="K121" s="286"/>
      <c r="L121" s="286">
        <v>0</v>
      </c>
      <c r="M121" s="286"/>
      <c r="N121" s="145">
        <v>0</v>
      </c>
      <c r="O121" s="145">
        <v>0</v>
      </c>
    </row>
    <row r="122" spans="2:18" ht="33" customHeight="1">
      <c r="B122" s="52"/>
      <c r="C122" s="52"/>
      <c r="D122" s="52"/>
      <c r="E122" s="244" t="s">
        <v>287</v>
      </c>
      <c r="F122" s="287"/>
      <c r="G122" s="287"/>
      <c r="H122" s="287"/>
      <c r="I122" s="287"/>
      <c r="J122" s="287"/>
      <c r="K122" s="287"/>
      <c r="L122" s="287"/>
      <c r="M122" s="287"/>
      <c r="N122" s="52"/>
      <c r="O122" s="52"/>
      <c r="P122" s="52"/>
    </row>
    <row r="123" spans="2:18" ht="15.75" customHeight="1"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</row>
    <row r="124" spans="2:18" ht="15.75">
      <c r="B124" s="52"/>
      <c r="C124" s="52"/>
      <c r="D124" s="52"/>
      <c r="E124" s="287" t="s">
        <v>288</v>
      </c>
      <c r="F124" s="287"/>
      <c r="G124" s="287"/>
      <c r="H124" s="287"/>
      <c r="I124" s="287"/>
      <c r="J124" s="287"/>
      <c r="K124" s="287"/>
      <c r="L124" s="287"/>
      <c r="M124" s="287"/>
      <c r="N124" s="52"/>
      <c r="O124" s="52"/>
      <c r="P124" s="52"/>
    </row>
    <row r="125" spans="2:18" ht="15.75" customHeight="1"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</row>
    <row r="126" spans="2:18" ht="31.5" customHeight="1">
      <c r="B126" s="240" t="s">
        <v>193</v>
      </c>
      <c r="C126" s="240" t="s">
        <v>2</v>
      </c>
      <c r="D126" s="240" t="s">
        <v>24</v>
      </c>
      <c r="E126" s="240" t="s">
        <v>228</v>
      </c>
      <c r="F126" s="240" t="s">
        <v>229</v>
      </c>
      <c r="G126" s="240" t="s">
        <v>230</v>
      </c>
      <c r="H126" s="135" t="s">
        <v>210</v>
      </c>
      <c r="I126" s="240" t="s">
        <v>195</v>
      </c>
      <c r="J126" s="240"/>
      <c r="K126" s="240"/>
      <c r="L126" s="240"/>
      <c r="M126" s="240"/>
      <c r="N126" s="240"/>
      <c r="O126" s="240"/>
      <c r="P126" s="59"/>
      <c r="Q126" s="59"/>
      <c r="R126" s="59"/>
    </row>
    <row r="127" spans="2:18" ht="93.75" customHeight="1">
      <c r="B127" s="240"/>
      <c r="C127" s="240"/>
      <c r="D127" s="240"/>
      <c r="E127" s="240"/>
      <c r="F127" s="240"/>
      <c r="G127" s="240"/>
      <c r="H127" s="240" t="s">
        <v>246</v>
      </c>
      <c r="I127" s="240" t="s">
        <v>196</v>
      </c>
      <c r="J127" s="240"/>
      <c r="K127" s="253" t="s">
        <v>197</v>
      </c>
      <c r="L127" s="253"/>
      <c r="M127" s="242" t="s">
        <v>198</v>
      </c>
      <c r="N127" s="242" t="s">
        <v>199</v>
      </c>
      <c r="O127" s="242"/>
      <c r="P127" s="91"/>
      <c r="Q127" s="59"/>
      <c r="R127" s="59"/>
    </row>
    <row r="128" spans="2:18" ht="39" customHeight="1">
      <c r="B128" s="240"/>
      <c r="C128" s="240"/>
      <c r="D128" s="240"/>
      <c r="E128" s="240"/>
      <c r="F128" s="240"/>
      <c r="G128" s="240"/>
      <c r="H128" s="240"/>
      <c r="I128" s="240"/>
      <c r="J128" s="240"/>
      <c r="K128" s="253"/>
      <c r="L128" s="253"/>
      <c r="M128" s="242"/>
      <c r="N128" s="136" t="s">
        <v>14</v>
      </c>
      <c r="O128" s="136" t="s">
        <v>200</v>
      </c>
      <c r="P128" s="91"/>
      <c r="Q128" s="142"/>
      <c r="R128" s="142"/>
    </row>
    <row r="129" spans="2:18" ht="15.75" customHeight="1">
      <c r="B129" s="135">
        <v>1</v>
      </c>
      <c r="C129" s="135">
        <v>2</v>
      </c>
      <c r="D129" s="135">
        <v>3</v>
      </c>
      <c r="E129" s="135">
        <v>4</v>
      </c>
      <c r="F129" s="135">
        <v>5</v>
      </c>
      <c r="G129" s="135">
        <v>6</v>
      </c>
      <c r="H129" s="135">
        <v>7</v>
      </c>
      <c r="I129" s="240">
        <v>8</v>
      </c>
      <c r="J129" s="240"/>
      <c r="K129" s="240">
        <v>9</v>
      </c>
      <c r="L129" s="240"/>
      <c r="M129" s="136">
        <v>10</v>
      </c>
      <c r="N129" s="136">
        <v>11</v>
      </c>
      <c r="O129" s="136">
        <v>12</v>
      </c>
      <c r="P129" s="142"/>
      <c r="Q129" s="142"/>
      <c r="R129" s="142"/>
    </row>
    <row r="130" spans="2:18" ht="31.5">
      <c r="B130" s="132">
        <v>244</v>
      </c>
      <c r="C130" s="132" t="s">
        <v>201</v>
      </c>
      <c r="D130" s="56" t="s">
        <v>244</v>
      </c>
      <c r="E130" s="132">
        <v>1</v>
      </c>
      <c r="F130" s="132">
        <v>12</v>
      </c>
      <c r="G130" s="132">
        <f>ROUND((H130/E130/F130),1)</f>
        <v>2500</v>
      </c>
      <c r="H130" s="66">
        <v>30000</v>
      </c>
      <c r="I130" s="233" t="s">
        <v>9</v>
      </c>
      <c r="J130" s="233"/>
      <c r="K130" s="233" t="s">
        <v>9</v>
      </c>
      <c r="L130" s="233"/>
      <c r="M130" s="75" t="s">
        <v>9</v>
      </c>
      <c r="N130" s="75" t="s">
        <v>9</v>
      </c>
      <c r="O130" s="75" t="s">
        <v>9</v>
      </c>
      <c r="P130" s="57"/>
      <c r="Q130" s="57"/>
      <c r="R130" s="57"/>
    </row>
    <row r="131" spans="2:18" ht="82.5" hidden="1" customHeight="1">
      <c r="B131" s="132">
        <v>244</v>
      </c>
      <c r="C131" s="132" t="s">
        <v>179</v>
      </c>
      <c r="D131" s="56" t="s">
        <v>245</v>
      </c>
      <c r="E131" s="132">
        <v>1</v>
      </c>
      <c r="F131" s="132">
        <v>12</v>
      </c>
      <c r="G131" s="132">
        <f>ROUND((H131/E131/F131),1)</f>
        <v>0</v>
      </c>
      <c r="H131" s="66">
        <v>0</v>
      </c>
      <c r="I131" s="233" t="s">
        <v>9</v>
      </c>
      <c r="J131" s="233"/>
      <c r="K131" s="233" t="s">
        <v>9</v>
      </c>
      <c r="L131" s="233"/>
      <c r="M131" s="75" t="s">
        <v>9</v>
      </c>
      <c r="N131" s="75" t="s">
        <v>9</v>
      </c>
      <c r="O131" s="75" t="s">
        <v>9</v>
      </c>
      <c r="P131" s="57"/>
      <c r="Q131" s="57"/>
      <c r="R131" s="57"/>
    </row>
    <row r="132" spans="2:18" s="50" customFormat="1" ht="15.75">
      <c r="B132" s="84"/>
      <c r="C132" s="140"/>
      <c r="D132" s="60" t="s">
        <v>23</v>
      </c>
      <c r="E132" s="140" t="s">
        <v>9</v>
      </c>
      <c r="F132" s="140" t="s">
        <v>9</v>
      </c>
      <c r="G132" s="140" t="s">
        <v>9</v>
      </c>
      <c r="H132" s="143">
        <f>SUM(H130:H131)</f>
        <v>30000</v>
      </c>
      <c r="I132" s="239">
        <f>H132</f>
        <v>30000</v>
      </c>
      <c r="J132" s="268"/>
      <c r="K132" s="239">
        <v>0</v>
      </c>
      <c r="L132" s="239"/>
      <c r="M132" s="138">
        <v>0</v>
      </c>
      <c r="N132" s="138">
        <v>0</v>
      </c>
      <c r="O132" s="138">
        <v>0</v>
      </c>
      <c r="P132" s="49"/>
      <c r="Q132" s="49" t="s">
        <v>299</v>
      </c>
      <c r="R132" s="49"/>
    </row>
    <row r="133" spans="2:18" ht="15" customHeight="1"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</row>
    <row r="134" spans="2:18" ht="23.25" customHeight="1">
      <c r="B134" s="52"/>
      <c r="C134" s="52"/>
      <c r="D134" s="52"/>
      <c r="E134" s="236" t="s">
        <v>289</v>
      </c>
      <c r="F134" s="258"/>
      <c r="G134" s="258"/>
      <c r="H134" s="258"/>
      <c r="I134" s="258"/>
      <c r="J134" s="258"/>
      <c r="K134" s="258"/>
      <c r="L134" s="258"/>
      <c r="M134" s="258"/>
      <c r="N134" s="52"/>
      <c r="O134" s="52"/>
      <c r="P134" s="52"/>
    </row>
    <row r="135" spans="2:18" ht="15.75" customHeight="1"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</row>
    <row r="136" spans="2:18" ht="31.5" customHeight="1">
      <c r="B136" s="240" t="s">
        <v>193</v>
      </c>
      <c r="C136" s="240" t="s">
        <v>2</v>
      </c>
      <c r="D136" s="240" t="s">
        <v>24</v>
      </c>
      <c r="E136" s="240" t="s">
        <v>35</v>
      </c>
      <c r="F136" s="240" t="s">
        <v>231</v>
      </c>
      <c r="G136" s="135" t="s">
        <v>210</v>
      </c>
      <c r="H136" s="240" t="s">
        <v>195</v>
      </c>
      <c r="I136" s="240"/>
      <c r="J136" s="240"/>
      <c r="K136" s="240"/>
      <c r="L136" s="240"/>
      <c r="M136" s="240"/>
      <c r="N136" s="240"/>
      <c r="O136" s="59"/>
      <c r="P136" s="59"/>
    </row>
    <row r="137" spans="2:18" ht="87.75" customHeight="1">
      <c r="B137" s="240"/>
      <c r="C137" s="240"/>
      <c r="D137" s="240"/>
      <c r="E137" s="240"/>
      <c r="F137" s="240"/>
      <c r="G137" s="240" t="s">
        <v>241</v>
      </c>
      <c r="H137" s="240" t="s">
        <v>196</v>
      </c>
      <c r="I137" s="240"/>
      <c r="J137" s="253" t="s">
        <v>197</v>
      </c>
      <c r="K137" s="253"/>
      <c r="L137" s="242" t="s">
        <v>198</v>
      </c>
      <c r="M137" s="242" t="s">
        <v>199</v>
      </c>
      <c r="N137" s="242"/>
      <c r="O137" s="59"/>
      <c r="P137" s="142"/>
    </row>
    <row r="138" spans="2:18" ht="36" customHeight="1">
      <c r="B138" s="240"/>
      <c r="C138" s="240"/>
      <c r="D138" s="240"/>
      <c r="E138" s="240"/>
      <c r="F138" s="240"/>
      <c r="G138" s="240"/>
      <c r="H138" s="240"/>
      <c r="I138" s="240"/>
      <c r="J138" s="253"/>
      <c r="K138" s="253"/>
      <c r="L138" s="242"/>
      <c r="M138" s="136" t="s">
        <v>14</v>
      </c>
      <c r="N138" s="136" t="s">
        <v>200</v>
      </c>
      <c r="O138" s="142"/>
      <c r="P138" s="142"/>
    </row>
    <row r="139" spans="2:18" ht="15.75" customHeight="1">
      <c r="B139" s="135">
        <v>1</v>
      </c>
      <c r="C139" s="135">
        <v>2</v>
      </c>
      <c r="D139" s="135">
        <v>3</v>
      </c>
      <c r="E139" s="135">
        <v>4</v>
      </c>
      <c r="F139" s="135">
        <v>5</v>
      </c>
      <c r="G139" s="135">
        <v>6</v>
      </c>
      <c r="H139" s="240">
        <v>7</v>
      </c>
      <c r="I139" s="240"/>
      <c r="J139" s="240">
        <v>8</v>
      </c>
      <c r="K139" s="240"/>
      <c r="L139" s="136">
        <v>9</v>
      </c>
      <c r="M139" s="136">
        <v>10</v>
      </c>
      <c r="N139" s="136">
        <v>11</v>
      </c>
      <c r="O139" s="142"/>
      <c r="P139" s="142"/>
    </row>
    <row r="140" spans="2:18" ht="15.75">
      <c r="B140" s="132"/>
      <c r="C140" s="132"/>
      <c r="D140" s="56"/>
      <c r="E140" s="150"/>
      <c r="F140" s="150"/>
      <c r="G140" s="150"/>
      <c r="H140" s="291" t="s">
        <v>9</v>
      </c>
      <c r="I140" s="291"/>
      <c r="J140" s="291" t="s">
        <v>9</v>
      </c>
      <c r="K140" s="291"/>
      <c r="L140" s="75" t="s">
        <v>9</v>
      </c>
      <c r="M140" s="75" t="s">
        <v>9</v>
      </c>
      <c r="N140" s="75" t="s">
        <v>9</v>
      </c>
      <c r="O140" s="67"/>
      <c r="P140" s="67"/>
    </row>
    <row r="141" spans="2:18" s="50" customFormat="1" ht="15.75" customHeight="1">
      <c r="B141" s="65"/>
      <c r="C141" s="65"/>
      <c r="D141" s="60" t="s">
        <v>23</v>
      </c>
      <c r="E141" s="134" t="s">
        <v>9</v>
      </c>
      <c r="F141" s="134" t="s">
        <v>9</v>
      </c>
      <c r="G141" s="134"/>
      <c r="H141" s="239"/>
      <c r="I141" s="239"/>
      <c r="J141" s="239"/>
      <c r="K141" s="239"/>
      <c r="L141" s="139"/>
      <c r="M141" s="139"/>
      <c r="N141" s="139"/>
      <c r="O141" s="49"/>
      <c r="P141" s="49"/>
      <c r="Q141" s="49" t="s">
        <v>301</v>
      </c>
      <c r="R141" s="49"/>
    </row>
    <row r="142" spans="2:18" ht="15.75"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</row>
    <row r="143" spans="2:18" ht="33" customHeight="1">
      <c r="B143" s="52"/>
      <c r="C143" s="52"/>
      <c r="D143" s="52"/>
      <c r="E143" s="236" t="s">
        <v>290</v>
      </c>
      <c r="F143" s="258"/>
      <c r="G143" s="258"/>
      <c r="H143" s="258"/>
      <c r="I143" s="258"/>
      <c r="J143" s="258"/>
      <c r="K143" s="258"/>
      <c r="L143" s="258"/>
      <c r="M143" s="258"/>
      <c r="N143" s="52"/>
      <c r="O143" s="52"/>
      <c r="P143" s="52"/>
    </row>
    <row r="144" spans="2:18" ht="15.75"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154"/>
      <c r="R144" s="154"/>
    </row>
    <row r="145" spans="2:18" ht="31.5" customHeight="1">
      <c r="B145" s="240" t="s">
        <v>193</v>
      </c>
      <c r="C145" s="240" t="s">
        <v>2</v>
      </c>
      <c r="D145" s="269" t="s">
        <v>3</v>
      </c>
      <c r="E145" s="270"/>
      <c r="F145" s="240" t="s">
        <v>36</v>
      </c>
      <c r="G145" s="240" t="s">
        <v>232</v>
      </c>
      <c r="H145" s="240" t="s">
        <v>233</v>
      </c>
      <c r="I145" s="135" t="s">
        <v>210</v>
      </c>
      <c r="J145" s="240" t="s">
        <v>195</v>
      </c>
      <c r="K145" s="240"/>
      <c r="L145" s="240"/>
      <c r="M145" s="240"/>
      <c r="N145" s="240"/>
      <c r="O145" s="240"/>
      <c r="P145" s="240"/>
      <c r="Q145" s="59"/>
      <c r="R145" s="59"/>
    </row>
    <row r="146" spans="2:18" ht="96.75" customHeight="1">
      <c r="B146" s="240"/>
      <c r="C146" s="240"/>
      <c r="D146" s="271"/>
      <c r="E146" s="272"/>
      <c r="F146" s="240"/>
      <c r="G146" s="240"/>
      <c r="H146" s="240"/>
      <c r="I146" s="240" t="s">
        <v>265</v>
      </c>
      <c r="J146" s="240" t="s">
        <v>196</v>
      </c>
      <c r="K146" s="240"/>
      <c r="L146" s="253" t="s">
        <v>197</v>
      </c>
      <c r="M146" s="253"/>
      <c r="N146" s="242" t="s">
        <v>198</v>
      </c>
      <c r="O146" s="242" t="s">
        <v>199</v>
      </c>
      <c r="P146" s="242"/>
      <c r="Q146" s="59"/>
      <c r="R146" s="59"/>
    </row>
    <row r="147" spans="2:18" ht="31.5" customHeight="1">
      <c r="B147" s="240"/>
      <c r="C147" s="240"/>
      <c r="D147" s="273"/>
      <c r="E147" s="274"/>
      <c r="F147" s="240"/>
      <c r="G147" s="240"/>
      <c r="H147" s="240"/>
      <c r="I147" s="240"/>
      <c r="J147" s="240"/>
      <c r="K147" s="240"/>
      <c r="L147" s="253"/>
      <c r="M147" s="253"/>
      <c r="N147" s="242"/>
      <c r="O147" s="136" t="s">
        <v>14</v>
      </c>
      <c r="P147" s="136" t="s">
        <v>200</v>
      </c>
      <c r="Q147" s="142"/>
      <c r="R147" s="142"/>
    </row>
    <row r="148" spans="2:18" ht="15.75">
      <c r="B148" s="135">
        <v>1</v>
      </c>
      <c r="C148" s="135">
        <v>2</v>
      </c>
      <c r="D148" s="254">
        <v>3</v>
      </c>
      <c r="E148" s="255"/>
      <c r="F148" s="135">
        <v>4</v>
      </c>
      <c r="G148" s="135">
        <v>5</v>
      </c>
      <c r="H148" s="135">
        <v>6</v>
      </c>
      <c r="I148" s="135">
        <v>7</v>
      </c>
      <c r="J148" s="240">
        <v>8</v>
      </c>
      <c r="K148" s="240"/>
      <c r="L148" s="240">
        <v>9</v>
      </c>
      <c r="M148" s="240"/>
      <c r="N148" s="135">
        <v>10</v>
      </c>
      <c r="O148" s="135">
        <v>11</v>
      </c>
      <c r="P148" s="135">
        <v>12</v>
      </c>
      <c r="Q148" s="142"/>
      <c r="R148" s="142"/>
    </row>
    <row r="149" spans="2:18" ht="24" customHeight="1">
      <c r="B149" s="132">
        <v>247</v>
      </c>
      <c r="C149" s="132">
        <v>1</v>
      </c>
      <c r="D149" s="231" t="s">
        <v>261</v>
      </c>
      <c r="E149" s="232"/>
      <c r="F149" s="132">
        <v>56541.1</v>
      </c>
      <c r="G149" s="132">
        <f>ROUND((I149/F149/1.038),2)</f>
        <v>5.65</v>
      </c>
      <c r="H149" s="132">
        <v>3.8</v>
      </c>
      <c r="I149" s="66">
        <v>331599.7</v>
      </c>
      <c r="J149" s="233" t="s">
        <v>9</v>
      </c>
      <c r="K149" s="233"/>
      <c r="L149" s="233" t="s">
        <v>9</v>
      </c>
      <c r="M149" s="233"/>
      <c r="N149" s="132" t="s">
        <v>9</v>
      </c>
      <c r="O149" s="132" t="s">
        <v>9</v>
      </c>
      <c r="P149" s="132" t="s">
        <v>9</v>
      </c>
      <c r="Q149" s="69"/>
      <c r="R149" s="69"/>
    </row>
    <row r="150" spans="2:18" ht="33" customHeight="1">
      <c r="B150" s="132">
        <v>247</v>
      </c>
      <c r="C150" s="132">
        <v>2</v>
      </c>
      <c r="D150" s="231" t="s">
        <v>262</v>
      </c>
      <c r="E150" s="232"/>
      <c r="F150" s="132">
        <v>457.8</v>
      </c>
      <c r="G150" s="132">
        <f t="shared" ref="G150:G155" si="4">ROUND((I150/F150/1.038),2)</f>
        <v>2307.85</v>
      </c>
      <c r="H150" s="132">
        <v>3.8</v>
      </c>
      <c r="I150" s="66">
        <v>1096681.1000000001</v>
      </c>
      <c r="J150" s="233" t="s">
        <v>9</v>
      </c>
      <c r="K150" s="233"/>
      <c r="L150" s="233" t="s">
        <v>9</v>
      </c>
      <c r="M150" s="233"/>
      <c r="N150" s="132" t="s">
        <v>9</v>
      </c>
      <c r="O150" s="132" t="s">
        <v>9</v>
      </c>
      <c r="P150" s="132" t="s">
        <v>9</v>
      </c>
      <c r="Q150" s="69"/>
      <c r="R150" s="69"/>
    </row>
    <row r="151" spans="2:18" ht="25.5" customHeight="1">
      <c r="B151" s="132">
        <v>247</v>
      </c>
      <c r="C151" s="132">
        <v>3</v>
      </c>
      <c r="D151" s="231" t="s">
        <v>340</v>
      </c>
      <c r="E151" s="232"/>
      <c r="F151" s="132">
        <v>29.7</v>
      </c>
      <c r="G151" s="132">
        <f>ROUND((I151/F151/1.038),2)</f>
        <v>2410.42</v>
      </c>
      <c r="H151" s="132">
        <v>3.8</v>
      </c>
      <c r="I151" s="66">
        <v>74309.8</v>
      </c>
      <c r="J151" s="233" t="s">
        <v>9</v>
      </c>
      <c r="K151" s="233"/>
      <c r="L151" s="233" t="s">
        <v>9</v>
      </c>
      <c r="M151" s="233"/>
      <c r="N151" s="132" t="s">
        <v>9</v>
      </c>
      <c r="O151" s="132" t="s">
        <v>9</v>
      </c>
      <c r="P151" s="132" t="s">
        <v>9</v>
      </c>
      <c r="Q151" s="69"/>
      <c r="R151" s="69"/>
    </row>
    <row r="152" spans="2:18" ht="20.25" customHeight="1">
      <c r="B152" s="132">
        <v>244</v>
      </c>
      <c r="C152" s="132">
        <v>4</v>
      </c>
      <c r="D152" s="231" t="s">
        <v>381</v>
      </c>
      <c r="E152" s="232"/>
      <c r="F152" s="150">
        <v>484.01</v>
      </c>
      <c r="G152" s="132">
        <f t="shared" si="4"/>
        <v>50.5</v>
      </c>
      <c r="H152" s="132">
        <v>3.8</v>
      </c>
      <c r="I152" s="66">
        <v>25373.3</v>
      </c>
      <c r="J152" s="233" t="s">
        <v>9</v>
      </c>
      <c r="K152" s="233"/>
      <c r="L152" s="233" t="s">
        <v>9</v>
      </c>
      <c r="M152" s="233"/>
      <c r="N152" s="132" t="s">
        <v>9</v>
      </c>
      <c r="O152" s="132" t="s">
        <v>9</v>
      </c>
      <c r="P152" s="132" t="s">
        <v>9</v>
      </c>
      <c r="Q152" s="69"/>
      <c r="R152" s="69"/>
    </row>
    <row r="153" spans="2:18" ht="20.25" hidden="1" customHeight="1">
      <c r="B153" s="198"/>
      <c r="C153" s="198">
        <v>5</v>
      </c>
      <c r="D153" s="196"/>
      <c r="E153" s="197"/>
      <c r="F153" s="199"/>
      <c r="G153" s="198" t="e">
        <f t="shared" si="4"/>
        <v>#DIV/0!</v>
      </c>
      <c r="H153" s="198"/>
      <c r="I153" s="66"/>
      <c r="J153" s="234"/>
      <c r="K153" s="235"/>
      <c r="L153" s="234"/>
      <c r="M153" s="235"/>
      <c r="N153" s="198"/>
      <c r="O153" s="198"/>
      <c r="P153" s="198"/>
      <c r="Q153" s="69"/>
      <c r="R153" s="69"/>
    </row>
    <row r="154" spans="2:18" ht="67.5" customHeight="1">
      <c r="B154" s="198"/>
      <c r="C154" s="198">
        <v>6</v>
      </c>
      <c r="D154" s="292" t="s">
        <v>423</v>
      </c>
      <c r="E154" s="293"/>
      <c r="F154" s="199">
        <v>41.35</v>
      </c>
      <c r="G154" s="198">
        <f>ROUND((I154/F154/1.038),2)</f>
        <v>419.37</v>
      </c>
      <c r="H154" s="198">
        <v>3.8</v>
      </c>
      <c r="I154" s="66">
        <v>18000</v>
      </c>
      <c r="J154" s="234"/>
      <c r="K154" s="235"/>
      <c r="L154" s="234"/>
      <c r="M154" s="235"/>
      <c r="N154" s="198"/>
      <c r="O154" s="198"/>
      <c r="P154" s="198"/>
      <c r="Q154" s="69"/>
      <c r="R154" s="69"/>
    </row>
    <row r="155" spans="2:18" ht="35.25" customHeight="1">
      <c r="B155" s="132">
        <v>244</v>
      </c>
      <c r="C155" s="132">
        <v>7</v>
      </c>
      <c r="D155" s="231" t="s">
        <v>388</v>
      </c>
      <c r="E155" s="232"/>
      <c r="F155" s="132">
        <v>448</v>
      </c>
      <c r="G155" s="132">
        <f t="shared" si="4"/>
        <v>62.19</v>
      </c>
      <c r="H155" s="132">
        <v>3.8</v>
      </c>
      <c r="I155" s="150">
        <v>28919.200000000001</v>
      </c>
      <c r="J155" s="233" t="s">
        <v>9</v>
      </c>
      <c r="K155" s="233"/>
      <c r="L155" s="233" t="s">
        <v>9</v>
      </c>
      <c r="M155" s="233"/>
      <c r="N155" s="132" t="s">
        <v>9</v>
      </c>
      <c r="O155" s="132" t="s">
        <v>9</v>
      </c>
      <c r="P155" s="132" t="s">
        <v>9</v>
      </c>
      <c r="Q155" s="49" t="s">
        <v>302</v>
      </c>
      <c r="R155" s="49"/>
    </row>
    <row r="156" spans="2:18" ht="15.75">
      <c r="B156" s="84"/>
      <c r="C156" s="237" t="s">
        <v>23</v>
      </c>
      <c r="D156" s="294"/>
      <c r="E156" s="238"/>
      <c r="F156" s="140" t="s">
        <v>9</v>
      </c>
      <c r="G156" s="140" t="s">
        <v>9</v>
      </c>
      <c r="H156" s="140" t="s">
        <v>9</v>
      </c>
      <c r="I156" s="143">
        <f>SUM(I149:I155)</f>
        <v>1574883.1</v>
      </c>
      <c r="J156" s="282">
        <f>I156</f>
        <v>1574883.1</v>
      </c>
      <c r="K156" s="282"/>
      <c r="L156" s="239">
        <v>0</v>
      </c>
      <c r="M156" s="239"/>
      <c r="N156" s="134">
        <v>0</v>
      </c>
      <c r="O156" s="134">
        <v>0</v>
      </c>
      <c r="P156" s="134">
        <v>0</v>
      </c>
      <c r="Q156" s="59"/>
      <c r="R156" s="59"/>
    </row>
    <row r="157" spans="2:18" ht="15.75" customHeight="1"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154"/>
      <c r="R157" s="154"/>
    </row>
    <row r="158" spans="2:18" ht="23.25" customHeight="1">
      <c r="B158" s="52"/>
      <c r="C158" s="236" t="s">
        <v>291</v>
      </c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52"/>
      <c r="O158" s="52"/>
      <c r="P158" s="52"/>
    </row>
    <row r="159" spans="2:18" ht="15.75"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</row>
    <row r="160" spans="2:18" ht="31.5" customHeight="1">
      <c r="B160" s="240" t="s">
        <v>193</v>
      </c>
      <c r="C160" s="240" t="s">
        <v>2</v>
      </c>
      <c r="D160" s="240" t="s">
        <v>24</v>
      </c>
      <c r="E160" s="240" t="s">
        <v>234</v>
      </c>
      <c r="F160" s="240" t="s">
        <v>235</v>
      </c>
      <c r="G160" s="135" t="s">
        <v>236</v>
      </c>
      <c r="H160" s="240" t="s">
        <v>195</v>
      </c>
      <c r="I160" s="240"/>
      <c r="J160" s="240"/>
      <c r="K160" s="240"/>
      <c r="L160" s="240"/>
      <c r="M160" s="240"/>
      <c r="N160" s="240"/>
      <c r="O160" s="59"/>
      <c r="P160" s="59"/>
    </row>
    <row r="161" spans="2:20" ht="85.5" customHeight="1">
      <c r="B161" s="240"/>
      <c r="C161" s="240"/>
      <c r="D161" s="240"/>
      <c r="E161" s="240"/>
      <c r="F161" s="240"/>
      <c r="G161" s="275" t="s">
        <v>241</v>
      </c>
      <c r="H161" s="240" t="s">
        <v>196</v>
      </c>
      <c r="I161" s="240"/>
      <c r="J161" s="253" t="s">
        <v>197</v>
      </c>
      <c r="K161" s="253"/>
      <c r="L161" s="242" t="s">
        <v>198</v>
      </c>
      <c r="M161" s="242" t="s">
        <v>199</v>
      </c>
      <c r="N161" s="242"/>
      <c r="O161" s="59"/>
      <c r="P161" s="142"/>
    </row>
    <row r="162" spans="2:20" ht="35.25" customHeight="1">
      <c r="B162" s="240"/>
      <c r="C162" s="240"/>
      <c r="D162" s="240"/>
      <c r="E162" s="240"/>
      <c r="F162" s="240"/>
      <c r="G162" s="276"/>
      <c r="H162" s="240"/>
      <c r="I162" s="240"/>
      <c r="J162" s="253"/>
      <c r="K162" s="253"/>
      <c r="L162" s="242"/>
      <c r="M162" s="136" t="s">
        <v>14</v>
      </c>
      <c r="N162" s="136" t="s">
        <v>200</v>
      </c>
      <c r="O162" s="142"/>
      <c r="P162" s="142"/>
    </row>
    <row r="163" spans="2:20" ht="15.75">
      <c r="B163" s="135">
        <v>1</v>
      </c>
      <c r="C163" s="135">
        <v>2</v>
      </c>
      <c r="D163" s="135">
        <v>3</v>
      </c>
      <c r="E163" s="135">
        <v>4</v>
      </c>
      <c r="F163" s="135">
        <v>5</v>
      </c>
      <c r="G163" s="182">
        <v>6</v>
      </c>
      <c r="H163" s="240">
        <v>7</v>
      </c>
      <c r="I163" s="240"/>
      <c r="J163" s="240">
        <v>8</v>
      </c>
      <c r="K163" s="240"/>
      <c r="L163" s="135">
        <v>9</v>
      </c>
      <c r="M163" s="135">
        <v>10</v>
      </c>
      <c r="N163" s="135">
        <v>11</v>
      </c>
      <c r="O163" s="142"/>
      <c r="P163" s="142"/>
    </row>
    <row r="164" spans="2:20" ht="15.75">
      <c r="B164" s="132">
        <v>244</v>
      </c>
      <c r="C164" s="132">
        <v>1</v>
      </c>
      <c r="D164" s="79" t="s">
        <v>368</v>
      </c>
      <c r="E164" s="75">
        <v>1</v>
      </c>
      <c r="F164" s="74">
        <v>11200</v>
      </c>
      <c r="G164" s="74">
        <f>E164*F164</f>
        <v>11200</v>
      </c>
      <c r="H164" s="233" t="s">
        <v>9</v>
      </c>
      <c r="I164" s="233"/>
      <c r="J164" s="233" t="s">
        <v>9</v>
      </c>
      <c r="K164" s="233"/>
      <c r="L164" s="132" t="s">
        <v>9</v>
      </c>
      <c r="M164" s="132" t="s">
        <v>9</v>
      </c>
      <c r="N164" s="132" t="s">
        <v>9</v>
      </c>
      <c r="O164" s="69"/>
      <c r="P164" s="69"/>
      <c r="Q164" s="49" t="s">
        <v>303</v>
      </c>
      <c r="R164" s="49"/>
      <c r="S164" s="100" t="s">
        <v>300</v>
      </c>
      <c r="T164" s="183">
        <v>16100</v>
      </c>
    </row>
    <row r="165" spans="2:20" ht="36.75" customHeight="1">
      <c r="B165" s="132">
        <v>244</v>
      </c>
      <c r="C165" s="132">
        <v>2</v>
      </c>
      <c r="D165" s="79" t="s">
        <v>307</v>
      </c>
      <c r="E165" s="75">
        <v>1</v>
      </c>
      <c r="F165" s="74">
        <v>1953.9</v>
      </c>
      <c r="G165" s="119">
        <v>1000</v>
      </c>
      <c r="H165" s="233" t="s">
        <v>9</v>
      </c>
      <c r="I165" s="233"/>
      <c r="J165" s="233" t="s">
        <v>9</v>
      </c>
      <c r="K165" s="233"/>
      <c r="L165" s="132" t="s">
        <v>9</v>
      </c>
      <c r="M165" s="132" t="s">
        <v>9</v>
      </c>
      <c r="N165" s="132" t="s">
        <v>9</v>
      </c>
      <c r="O165" s="69"/>
      <c r="P165" s="69"/>
      <c r="S165" s="100" t="s">
        <v>294</v>
      </c>
      <c r="T165" s="100">
        <v>0</v>
      </c>
    </row>
    <row r="166" spans="2:20" ht="26.25" hidden="1" customHeight="1">
      <c r="B166" s="132">
        <v>244</v>
      </c>
      <c r="C166" s="132">
        <v>3</v>
      </c>
      <c r="D166" s="79" t="s">
        <v>271</v>
      </c>
      <c r="E166" s="75">
        <v>1</v>
      </c>
      <c r="F166" s="74">
        <v>0</v>
      </c>
      <c r="G166" s="119">
        <f>F166</f>
        <v>0</v>
      </c>
      <c r="H166" s="233" t="s">
        <v>9</v>
      </c>
      <c r="I166" s="233"/>
      <c r="J166" s="233" t="s">
        <v>9</v>
      </c>
      <c r="K166" s="233"/>
      <c r="L166" s="132" t="s">
        <v>9</v>
      </c>
      <c r="M166" s="132" t="s">
        <v>9</v>
      </c>
      <c r="N166" s="132" t="s">
        <v>9</v>
      </c>
      <c r="O166" s="69"/>
      <c r="P166" s="69"/>
      <c r="S166" s="100" t="s">
        <v>308</v>
      </c>
      <c r="T166" s="184">
        <v>199904</v>
      </c>
    </row>
    <row r="167" spans="2:20" ht="27.75" customHeight="1">
      <c r="B167" s="132">
        <v>244</v>
      </c>
      <c r="C167" s="132">
        <v>4</v>
      </c>
      <c r="D167" s="79" t="s">
        <v>433</v>
      </c>
      <c r="E167" s="75">
        <v>1</v>
      </c>
      <c r="F167" s="74">
        <v>3000</v>
      </c>
      <c r="G167" s="119">
        <f t="shared" ref="G167:G180" si="5">E167*F167</f>
        <v>3000</v>
      </c>
      <c r="H167" s="233" t="s">
        <v>9</v>
      </c>
      <c r="I167" s="233"/>
      <c r="J167" s="233" t="s">
        <v>9</v>
      </c>
      <c r="K167" s="233"/>
      <c r="L167" s="132" t="s">
        <v>9</v>
      </c>
      <c r="M167" s="132" t="s">
        <v>9</v>
      </c>
      <c r="N167" s="132" t="s">
        <v>9</v>
      </c>
      <c r="O167" s="69"/>
      <c r="P167" s="69"/>
      <c r="S167" s="100"/>
      <c r="T167" s="184"/>
    </row>
    <row r="168" spans="2:20" ht="57" hidden="1" customHeight="1">
      <c r="B168" s="132">
        <v>244</v>
      </c>
      <c r="C168" s="132">
        <v>5</v>
      </c>
      <c r="D168" s="79" t="s">
        <v>399</v>
      </c>
      <c r="E168" s="75">
        <v>1</v>
      </c>
      <c r="F168" s="74">
        <v>0</v>
      </c>
      <c r="G168" s="119">
        <f t="shared" si="5"/>
        <v>0</v>
      </c>
      <c r="H168" s="234" t="s">
        <v>337</v>
      </c>
      <c r="I168" s="235"/>
      <c r="J168" s="234" t="s">
        <v>337</v>
      </c>
      <c r="K168" s="235"/>
      <c r="L168" s="132" t="s">
        <v>337</v>
      </c>
      <c r="M168" s="132" t="s">
        <v>337</v>
      </c>
      <c r="N168" s="132" t="s">
        <v>337</v>
      </c>
      <c r="O168" s="69"/>
      <c r="P168" s="69"/>
      <c r="S168" s="100"/>
      <c r="T168" s="184"/>
    </row>
    <row r="169" spans="2:20" ht="52.9" hidden="1" customHeight="1">
      <c r="B169" s="132">
        <v>244</v>
      </c>
      <c r="C169" s="132">
        <v>6</v>
      </c>
      <c r="D169" s="79" t="s">
        <v>402</v>
      </c>
      <c r="E169" s="75">
        <v>1</v>
      </c>
      <c r="F169" s="74">
        <v>0</v>
      </c>
      <c r="G169" s="119">
        <f t="shared" si="5"/>
        <v>0</v>
      </c>
      <c r="H169" s="234" t="s">
        <v>337</v>
      </c>
      <c r="I169" s="235"/>
      <c r="J169" s="234" t="s">
        <v>337</v>
      </c>
      <c r="K169" s="235"/>
      <c r="L169" s="132" t="s">
        <v>337</v>
      </c>
      <c r="M169" s="132" t="s">
        <v>337</v>
      </c>
      <c r="N169" s="132" t="s">
        <v>337</v>
      </c>
      <c r="O169" s="69"/>
      <c r="P169" s="69"/>
      <c r="S169" s="100"/>
      <c r="T169" s="184"/>
    </row>
    <row r="170" spans="2:20" ht="39" hidden="1" customHeight="1">
      <c r="B170" s="132">
        <v>244</v>
      </c>
      <c r="C170" s="132">
        <v>5</v>
      </c>
      <c r="D170" s="79" t="s">
        <v>382</v>
      </c>
      <c r="E170" s="75">
        <v>1</v>
      </c>
      <c r="F170" s="74">
        <v>0</v>
      </c>
      <c r="G170" s="119">
        <f t="shared" si="5"/>
        <v>0</v>
      </c>
      <c r="H170" s="234" t="s">
        <v>337</v>
      </c>
      <c r="I170" s="235"/>
      <c r="J170" s="234" t="s">
        <v>337</v>
      </c>
      <c r="K170" s="235"/>
      <c r="L170" s="132" t="s">
        <v>337</v>
      </c>
      <c r="M170" s="132" t="s">
        <v>337</v>
      </c>
      <c r="N170" s="132" t="s">
        <v>337</v>
      </c>
      <c r="O170" s="69"/>
      <c r="P170" s="69"/>
      <c r="S170" s="100"/>
      <c r="T170" s="184"/>
    </row>
    <row r="171" spans="2:20" ht="39" hidden="1" customHeight="1">
      <c r="B171" s="132">
        <v>244</v>
      </c>
      <c r="C171" s="132">
        <v>6</v>
      </c>
      <c r="D171" s="79" t="s">
        <v>383</v>
      </c>
      <c r="E171" s="75">
        <v>1</v>
      </c>
      <c r="F171" s="74">
        <v>0</v>
      </c>
      <c r="G171" s="119">
        <f t="shared" si="5"/>
        <v>0</v>
      </c>
      <c r="H171" s="234" t="s">
        <v>337</v>
      </c>
      <c r="I171" s="235"/>
      <c r="J171" s="234" t="s">
        <v>337</v>
      </c>
      <c r="K171" s="235"/>
      <c r="L171" s="132" t="s">
        <v>337</v>
      </c>
      <c r="M171" s="132" t="s">
        <v>337</v>
      </c>
      <c r="N171" s="132" t="s">
        <v>337</v>
      </c>
      <c r="O171" s="69"/>
      <c r="P171" s="69"/>
      <c r="S171" s="100"/>
      <c r="T171" s="184"/>
    </row>
    <row r="172" spans="2:20" ht="39" customHeight="1">
      <c r="B172" s="132">
        <v>244</v>
      </c>
      <c r="C172" s="132">
        <v>7</v>
      </c>
      <c r="D172" s="79" t="s">
        <v>434</v>
      </c>
      <c r="E172" s="75">
        <v>1</v>
      </c>
      <c r="F172" s="74">
        <v>11500</v>
      </c>
      <c r="G172" s="119">
        <f t="shared" si="5"/>
        <v>11500</v>
      </c>
      <c r="H172" s="234" t="s">
        <v>337</v>
      </c>
      <c r="I172" s="235"/>
      <c r="J172" s="234" t="s">
        <v>337</v>
      </c>
      <c r="K172" s="235"/>
      <c r="L172" s="132" t="s">
        <v>337</v>
      </c>
      <c r="M172" s="132" t="s">
        <v>337</v>
      </c>
      <c r="N172" s="132" t="s">
        <v>337</v>
      </c>
      <c r="O172" s="69"/>
      <c r="P172" s="69"/>
      <c r="S172" s="100"/>
      <c r="T172" s="184"/>
    </row>
    <row r="173" spans="2:20" ht="39" hidden="1" customHeight="1">
      <c r="B173" s="132">
        <v>244</v>
      </c>
      <c r="C173" s="132">
        <v>7</v>
      </c>
      <c r="D173" s="79" t="s">
        <v>401</v>
      </c>
      <c r="E173" s="75">
        <v>1</v>
      </c>
      <c r="F173" s="74">
        <v>0</v>
      </c>
      <c r="G173" s="119">
        <f>E173*F173</f>
        <v>0</v>
      </c>
      <c r="H173" s="234" t="s">
        <v>337</v>
      </c>
      <c r="I173" s="235"/>
      <c r="J173" s="234" t="s">
        <v>337</v>
      </c>
      <c r="K173" s="235"/>
      <c r="L173" s="132" t="s">
        <v>337</v>
      </c>
      <c r="M173" s="132" t="s">
        <v>337</v>
      </c>
      <c r="N173" s="132" t="s">
        <v>337</v>
      </c>
      <c r="O173" s="69"/>
      <c r="P173" s="69"/>
      <c r="S173" s="100"/>
      <c r="T173" s="184"/>
    </row>
    <row r="174" spans="2:20" ht="39" hidden="1" customHeight="1">
      <c r="B174" s="132">
        <v>244</v>
      </c>
      <c r="C174" s="132">
        <v>8</v>
      </c>
      <c r="D174" s="79" t="s">
        <v>406</v>
      </c>
      <c r="E174" s="75">
        <v>1</v>
      </c>
      <c r="F174" s="74">
        <v>0</v>
      </c>
      <c r="G174" s="119">
        <v>0</v>
      </c>
      <c r="H174" s="130"/>
      <c r="I174" s="131"/>
      <c r="J174" s="130"/>
      <c r="K174" s="131"/>
      <c r="L174" s="132"/>
      <c r="M174" s="132"/>
      <c r="N174" s="132"/>
      <c r="O174" s="69"/>
      <c r="P174" s="69"/>
      <c r="S174" s="100"/>
      <c r="T174" s="184"/>
    </row>
    <row r="175" spans="2:20" ht="56.25" hidden="1" customHeight="1">
      <c r="B175" s="132">
        <v>244</v>
      </c>
      <c r="C175" s="132">
        <v>9</v>
      </c>
      <c r="D175" s="79" t="s">
        <v>400</v>
      </c>
      <c r="E175" s="75">
        <v>1</v>
      </c>
      <c r="F175" s="74">
        <v>0</v>
      </c>
      <c r="G175" s="119">
        <f t="shared" si="5"/>
        <v>0</v>
      </c>
      <c r="H175" s="234" t="s">
        <v>337</v>
      </c>
      <c r="I175" s="235"/>
      <c r="J175" s="234" t="s">
        <v>337</v>
      </c>
      <c r="K175" s="235"/>
      <c r="L175" s="132" t="s">
        <v>337</v>
      </c>
      <c r="M175" s="132" t="s">
        <v>337</v>
      </c>
      <c r="N175" s="132" t="s">
        <v>337</v>
      </c>
      <c r="O175" s="69"/>
      <c r="P175" s="69"/>
      <c r="S175" s="100"/>
      <c r="T175" s="184"/>
    </row>
    <row r="176" spans="2:20" ht="63" hidden="1">
      <c r="B176" s="132">
        <v>244</v>
      </c>
      <c r="C176" s="132">
        <v>3</v>
      </c>
      <c r="D176" s="79" t="s">
        <v>272</v>
      </c>
      <c r="E176" s="75">
        <v>1</v>
      </c>
      <c r="F176" s="74"/>
      <c r="G176" s="119">
        <f t="shared" ref="G176:G179" si="6">E176*F176</f>
        <v>0</v>
      </c>
      <c r="H176" s="233" t="s">
        <v>9</v>
      </c>
      <c r="I176" s="233"/>
      <c r="J176" s="233" t="s">
        <v>9</v>
      </c>
      <c r="K176" s="233"/>
      <c r="L176" s="132" t="s">
        <v>337</v>
      </c>
      <c r="M176" s="132" t="s">
        <v>9</v>
      </c>
      <c r="N176" s="132" t="s">
        <v>9</v>
      </c>
      <c r="O176" s="69"/>
      <c r="P176" s="69"/>
      <c r="S176" s="100" t="s">
        <v>7</v>
      </c>
      <c r="T176" s="185">
        <f>SUM(T164:T166)</f>
        <v>216004</v>
      </c>
    </row>
    <row r="177" spans="2:20" ht="78.75">
      <c r="B177" s="132">
        <v>244</v>
      </c>
      <c r="C177" s="132">
        <v>10</v>
      </c>
      <c r="D177" s="79" t="s">
        <v>435</v>
      </c>
      <c r="E177" s="75">
        <v>1</v>
      </c>
      <c r="F177" s="74">
        <v>189304</v>
      </c>
      <c r="G177" s="119">
        <f>E177*F177</f>
        <v>189304</v>
      </c>
      <c r="H177" s="233" t="s">
        <v>9</v>
      </c>
      <c r="I177" s="233"/>
      <c r="J177" s="233" t="s">
        <v>9</v>
      </c>
      <c r="K177" s="233"/>
      <c r="L177" s="132" t="s">
        <v>337</v>
      </c>
      <c r="M177" s="132" t="s">
        <v>9</v>
      </c>
      <c r="N177" s="132" t="s">
        <v>9</v>
      </c>
      <c r="O177" s="69"/>
      <c r="P177" s="69"/>
      <c r="T177" s="53" t="b">
        <f>G181=T176</f>
        <v>1</v>
      </c>
    </row>
    <row r="178" spans="2:20" ht="15.75" hidden="1">
      <c r="B178" s="132"/>
      <c r="C178" s="132">
        <v>11</v>
      </c>
      <c r="D178" s="83" t="s">
        <v>395</v>
      </c>
      <c r="E178" s="132">
        <v>1</v>
      </c>
      <c r="F178" s="66">
        <v>0</v>
      </c>
      <c r="G178" s="150">
        <f t="shared" si="6"/>
        <v>0</v>
      </c>
      <c r="H178" s="233" t="s">
        <v>9</v>
      </c>
      <c r="I178" s="233"/>
      <c r="J178" s="233" t="s">
        <v>9</v>
      </c>
      <c r="K178" s="233"/>
      <c r="L178" s="132" t="s">
        <v>9</v>
      </c>
      <c r="M178" s="132" t="s">
        <v>337</v>
      </c>
      <c r="N178" s="132" t="s">
        <v>337</v>
      </c>
      <c r="O178" s="69"/>
      <c r="P178" s="69"/>
    </row>
    <row r="179" spans="2:20" ht="91.5" hidden="1" customHeight="1">
      <c r="B179" s="132">
        <v>243</v>
      </c>
      <c r="C179" s="132">
        <v>12</v>
      </c>
      <c r="D179" s="83" t="s">
        <v>391</v>
      </c>
      <c r="E179" s="132">
        <v>1</v>
      </c>
      <c r="F179" s="66">
        <v>0</v>
      </c>
      <c r="G179" s="150">
        <f t="shared" si="6"/>
        <v>0</v>
      </c>
      <c r="H179" s="233" t="s">
        <v>9</v>
      </c>
      <c r="I179" s="233"/>
      <c r="J179" s="233" t="s">
        <v>9</v>
      </c>
      <c r="K179" s="233"/>
      <c r="L179" s="132" t="s">
        <v>9</v>
      </c>
      <c r="M179" s="132" t="s">
        <v>9</v>
      </c>
      <c r="N179" s="132" t="s">
        <v>9</v>
      </c>
      <c r="O179" s="69"/>
      <c r="P179" s="69"/>
    </row>
    <row r="180" spans="2:20" ht="91.5" hidden="1" customHeight="1" outlineLevel="1">
      <c r="B180" s="132"/>
      <c r="C180" s="132"/>
      <c r="D180" s="83"/>
      <c r="E180" s="132">
        <v>1</v>
      </c>
      <c r="F180" s="132"/>
      <c r="G180" s="150">
        <f t="shared" si="5"/>
        <v>0</v>
      </c>
      <c r="H180" s="233" t="s">
        <v>9</v>
      </c>
      <c r="I180" s="233"/>
      <c r="J180" s="233" t="s">
        <v>9</v>
      </c>
      <c r="K180" s="233"/>
      <c r="L180" s="132" t="s">
        <v>9</v>
      </c>
      <c r="M180" s="132" t="s">
        <v>9</v>
      </c>
      <c r="N180" s="132" t="s">
        <v>9</v>
      </c>
      <c r="O180" s="69"/>
      <c r="P180" s="69"/>
    </row>
    <row r="181" spans="2:20" ht="15.75" customHeight="1" collapsed="1">
      <c r="B181" s="132"/>
      <c r="C181" s="237" t="s">
        <v>23</v>
      </c>
      <c r="D181" s="238"/>
      <c r="E181" s="140" t="s">
        <v>9</v>
      </c>
      <c r="F181" s="140" t="s">
        <v>9</v>
      </c>
      <c r="G181" s="143">
        <f>SUM(G164:G180)</f>
        <v>216004</v>
      </c>
      <c r="H181" s="239">
        <f>T164</f>
        <v>16100</v>
      </c>
      <c r="I181" s="268"/>
      <c r="J181" s="239">
        <f>T166</f>
        <v>199904</v>
      </c>
      <c r="K181" s="239"/>
      <c r="L181" s="134">
        <v>0</v>
      </c>
      <c r="M181" s="134">
        <f>T165</f>
        <v>0</v>
      </c>
      <c r="N181" s="145">
        <v>0</v>
      </c>
      <c r="O181" s="59"/>
      <c r="P181" s="59"/>
      <c r="Q181" s="78">
        <f>SUM(H181:M181)</f>
        <v>216004</v>
      </c>
      <c r="R181" s="78">
        <f>Q181-G181</f>
        <v>0</v>
      </c>
    </row>
    <row r="182" spans="2:20" ht="15.75">
      <c r="B182" s="57"/>
      <c r="C182" s="52"/>
      <c r="D182" s="52"/>
      <c r="E182" s="52"/>
      <c r="F182" s="118"/>
      <c r="G182" s="52"/>
      <c r="H182" s="118"/>
      <c r="I182" s="52"/>
      <c r="J182" s="52"/>
      <c r="K182" s="52"/>
      <c r="L182" s="52"/>
      <c r="M182" s="52"/>
      <c r="N182" s="186"/>
      <c r="O182" s="186"/>
      <c r="P182" s="186"/>
      <c r="Q182" s="53" t="b">
        <f>G181=Q181</f>
        <v>1</v>
      </c>
    </row>
    <row r="183" spans="2:20" ht="25.5" customHeight="1">
      <c r="B183" s="52"/>
      <c r="C183" s="236" t="s">
        <v>292</v>
      </c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52"/>
      <c r="O183" s="52"/>
      <c r="P183" s="52"/>
    </row>
    <row r="184" spans="2:20" ht="15.75"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</row>
    <row r="185" spans="2:20" ht="31.5" customHeight="1">
      <c r="B185" s="240" t="s">
        <v>193</v>
      </c>
      <c r="C185" s="240" t="s">
        <v>2</v>
      </c>
      <c r="D185" s="240" t="s">
        <v>24</v>
      </c>
      <c r="E185" s="240" t="s">
        <v>237</v>
      </c>
      <c r="F185" s="240" t="s">
        <v>238</v>
      </c>
      <c r="G185" s="135" t="s">
        <v>236</v>
      </c>
      <c r="H185" s="240" t="s">
        <v>195</v>
      </c>
      <c r="I185" s="240"/>
      <c r="J185" s="240"/>
      <c r="K185" s="240"/>
      <c r="L185" s="240"/>
      <c r="M185" s="240"/>
      <c r="N185" s="240"/>
      <c r="O185" s="59"/>
      <c r="P185" s="59"/>
    </row>
    <row r="186" spans="2:20" ht="100.5" customHeight="1">
      <c r="B186" s="240"/>
      <c r="C186" s="240"/>
      <c r="D186" s="240"/>
      <c r="E186" s="240"/>
      <c r="F186" s="240"/>
      <c r="G186" s="275" t="s">
        <v>241</v>
      </c>
      <c r="H186" s="240" t="s">
        <v>196</v>
      </c>
      <c r="I186" s="240"/>
      <c r="J186" s="253" t="s">
        <v>197</v>
      </c>
      <c r="K186" s="253"/>
      <c r="L186" s="242" t="s">
        <v>198</v>
      </c>
      <c r="M186" s="242" t="s">
        <v>199</v>
      </c>
      <c r="N186" s="242"/>
      <c r="O186" s="59"/>
      <c r="P186" s="142"/>
    </row>
    <row r="187" spans="2:20" ht="15.75" customHeight="1">
      <c r="B187" s="240"/>
      <c r="C187" s="240"/>
      <c r="D187" s="240"/>
      <c r="E187" s="240"/>
      <c r="F187" s="240"/>
      <c r="G187" s="276"/>
      <c r="H187" s="240"/>
      <c r="I187" s="240"/>
      <c r="J187" s="253"/>
      <c r="K187" s="253"/>
      <c r="L187" s="242"/>
      <c r="M187" s="136" t="s">
        <v>14</v>
      </c>
      <c r="N187" s="136" t="s">
        <v>200</v>
      </c>
      <c r="O187" s="142"/>
      <c r="P187" s="142"/>
    </row>
    <row r="188" spans="2:20" ht="15.75">
      <c r="B188" s="135">
        <v>1</v>
      </c>
      <c r="C188" s="135">
        <v>2</v>
      </c>
      <c r="D188" s="135">
        <v>3</v>
      </c>
      <c r="E188" s="135">
        <v>4</v>
      </c>
      <c r="F188" s="135">
        <v>5</v>
      </c>
      <c r="G188" s="135">
        <v>6</v>
      </c>
      <c r="H188" s="240">
        <v>7</v>
      </c>
      <c r="I188" s="240"/>
      <c r="J188" s="240">
        <v>8</v>
      </c>
      <c r="K188" s="240"/>
      <c r="L188" s="135">
        <v>9</v>
      </c>
      <c r="M188" s="135">
        <v>10</v>
      </c>
      <c r="N188" s="135">
        <v>11</v>
      </c>
      <c r="O188" s="142"/>
      <c r="P188" s="142"/>
    </row>
    <row r="189" spans="2:20" ht="31.5">
      <c r="B189" s="132">
        <v>244</v>
      </c>
      <c r="C189" s="132">
        <v>1</v>
      </c>
      <c r="D189" s="83" t="s">
        <v>273</v>
      </c>
      <c r="E189" s="132">
        <v>1</v>
      </c>
      <c r="F189" s="150">
        <v>12250</v>
      </c>
      <c r="G189" s="150">
        <f>F189</f>
        <v>12250</v>
      </c>
      <c r="H189" s="234" t="s">
        <v>9</v>
      </c>
      <c r="I189" s="235"/>
      <c r="J189" s="234" t="s">
        <v>9</v>
      </c>
      <c r="K189" s="235"/>
      <c r="L189" s="132" t="s">
        <v>9</v>
      </c>
      <c r="M189" s="132" t="s">
        <v>9</v>
      </c>
      <c r="N189" s="132" t="s">
        <v>9</v>
      </c>
      <c r="O189" s="69"/>
      <c r="P189" s="69"/>
      <c r="Q189" s="49" t="s">
        <v>304</v>
      </c>
      <c r="R189" s="49"/>
      <c r="S189" s="100" t="s">
        <v>300</v>
      </c>
      <c r="T189" s="183">
        <v>462455.48</v>
      </c>
    </row>
    <row r="190" spans="2:20" ht="27.75" hidden="1" customHeight="1">
      <c r="B190" s="132">
        <v>244</v>
      </c>
      <c r="C190" s="132">
        <v>2</v>
      </c>
      <c r="D190" s="83" t="s">
        <v>403</v>
      </c>
      <c r="E190" s="132">
        <v>1</v>
      </c>
      <c r="F190" s="150">
        <v>0</v>
      </c>
      <c r="G190" s="150">
        <f t="shared" ref="G190:G208" si="7">F190</f>
        <v>0</v>
      </c>
      <c r="H190" s="233" t="s">
        <v>9</v>
      </c>
      <c r="I190" s="233"/>
      <c r="J190" s="233" t="s">
        <v>9</v>
      </c>
      <c r="K190" s="233"/>
      <c r="L190" s="132" t="s">
        <v>9</v>
      </c>
      <c r="M190" s="132" t="s">
        <v>9</v>
      </c>
      <c r="N190" s="132" t="s">
        <v>9</v>
      </c>
      <c r="O190" s="69"/>
      <c r="P190" s="69"/>
      <c r="S190" s="100" t="s">
        <v>294</v>
      </c>
      <c r="T190" s="100">
        <v>40800</v>
      </c>
    </row>
    <row r="191" spans="2:20" ht="47.25">
      <c r="B191" s="132">
        <v>244</v>
      </c>
      <c r="C191" s="132">
        <v>3</v>
      </c>
      <c r="D191" s="83" t="s">
        <v>274</v>
      </c>
      <c r="E191" s="132">
        <v>1</v>
      </c>
      <c r="F191" s="150">
        <v>22425</v>
      </c>
      <c r="G191" s="150">
        <f t="shared" si="7"/>
        <v>22425</v>
      </c>
      <c r="H191" s="233" t="s">
        <v>9</v>
      </c>
      <c r="I191" s="233"/>
      <c r="J191" s="233" t="s">
        <v>9</v>
      </c>
      <c r="K191" s="233"/>
      <c r="L191" s="132" t="s">
        <v>9</v>
      </c>
      <c r="M191" s="132" t="s">
        <v>9</v>
      </c>
      <c r="N191" s="132" t="s">
        <v>9</v>
      </c>
      <c r="O191" s="69"/>
      <c r="P191" s="69"/>
      <c r="S191" s="100" t="s">
        <v>308</v>
      </c>
      <c r="T191" s="184">
        <v>179286</v>
      </c>
    </row>
    <row r="192" spans="2:20" ht="84" customHeight="1">
      <c r="B192" s="132">
        <v>244</v>
      </c>
      <c r="C192" s="132">
        <v>3</v>
      </c>
      <c r="D192" s="83" t="s">
        <v>275</v>
      </c>
      <c r="E192" s="132">
        <v>1</v>
      </c>
      <c r="F192" s="150">
        <v>26250</v>
      </c>
      <c r="G192" s="150">
        <f t="shared" si="7"/>
        <v>26250</v>
      </c>
      <c r="H192" s="234" t="s">
        <v>9</v>
      </c>
      <c r="I192" s="235"/>
      <c r="J192" s="234" t="s">
        <v>9</v>
      </c>
      <c r="K192" s="235"/>
      <c r="L192" s="132" t="s">
        <v>9</v>
      </c>
      <c r="M192" s="132" t="s">
        <v>9</v>
      </c>
      <c r="N192" s="132" t="s">
        <v>9</v>
      </c>
      <c r="O192" s="69"/>
      <c r="P192" s="69"/>
      <c r="S192" s="100" t="s">
        <v>7</v>
      </c>
      <c r="T192" s="185">
        <f>SUM(T189:T191)</f>
        <v>682541.48</v>
      </c>
    </row>
    <row r="193" spans="2:20" ht="37.15" customHeight="1">
      <c r="B193" s="132">
        <v>244</v>
      </c>
      <c r="C193" s="132">
        <v>4</v>
      </c>
      <c r="D193" s="83" t="s">
        <v>276</v>
      </c>
      <c r="E193" s="132">
        <v>1</v>
      </c>
      <c r="F193" s="150">
        <v>7723.4</v>
      </c>
      <c r="G193" s="150">
        <f t="shared" si="7"/>
        <v>7723.4</v>
      </c>
      <c r="H193" s="233" t="s">
        <v>9</v>
      </c>
      <c r="I193" s="233"/>
      <c r="J193" s="233" t="s">
        <v>9</v>
      </c>
      <c r="K193" s="233"/>
      <c r="L193" s="132" t="s">
        <v>9</v>
      </c>
      <c r="M193" s="132" t="s">
        <v>9</v>
      </c>
      <c r="N193" s="132" t="s">
        <v>9</v>
      </c>
      <c r="O193" s="69"/>
      <c r="P193" s="69"/>
      <c r="T193" s="53" t="b">
        <f>G209=T192</f>
        <v>1</v>
      </c>
    </row>
    <row r="194" spans="2:20" ht="19.5" hidden="1" customHeight="1">
      <c r="B194" s="132">
        <v>244</v>
      </c>
      <c r="C194" s="132">
        <v>5</v>
      </c>
      <c r="D194" s="83" t="s">
        <v>276</v>
      </c>
      <c r="E194" s="132">
        <v>1</v>
      </c>
      <c r="F194" s="150">
        <v>0</v>
      </c>
      <c r="G194" s="150">
        <f t="shared" si="7"/>
        <v>0</v>
      </c>
      <c r="H194" s="233" t="s">
        <v>9</v>
      </c>
      <c r="I194" s="233"/>
      <c r="J194" s="233" t="s">
        <v>9</v>
      </c>
      <c r="K194" s="233"/>
      <c r="L194" s="132" t="s">
        <v>9</v>
      </c>
      <c r="M194" s="132" t="s">
        <v>9</v>
      </c>
      <c r="N194" s="132" t="s">
        <v>9</v>
      </c>
      <c r="O194" s="69"/>
      <c r="P194" s="69"/>
    </row>
    <row r="195" spans="2:20" ht="36" hidden="1" customHeight="1">
      <c r="B195" s="132">
        <v>244</v>
      </c>
      <c r="C195" s="132">
        <v>6</v>
      </c>
      <c r="D195" s="83" t="s">
        <v>277</v>
      </c>
      <c r="E195" s="132">
        <v>1</v>
      </c>
      <c r="F195" s="150">
        <v>0</v>
      </c>
      <c r="G195" s="150">
        <f t="shared" si="7"/>
        <v>0</v>
      </c>
      <c r="H195" s="233" t="s">
        <v>9</v>
      </c>
      <c r="I195" s="233"/>
      <c r="J195" s="233" t="s">
        <v>9</v>
      </c>
      <c r="K195" s="233"/>
      <c r="L195" s="132" t="s">
        <v>9</v>
      </c>
      <c r="M195" s="132" t="s">
        <v>9</v>
      </c>
      <c r="N195" s="132" t="s">
        <v>9</v>
      </c>
      <c r="O195" s="69"/>
      <c r="P195" s="69"/>
    </row>
    <row r="196" spans="2:20" ht="36" hidden="1" customHeight="1">
      <c r="B196" s="132">
        <v>244</v>
      </c>
      <c r="C196" s="132">
        <v>7</v>
      </c>
      <c r="D196" s="83" t="s">
        <v>405</v>
      </c>
      <c r="E196" s="132">
        <v>1</v>
      </c>
      <c r="F196" s="150">
        <v>0</v>
      </c>
      <c r="G196" s="150">
        <f t="shared" si="7"/>
        <v>0</v>
      </c>
      <c r="H196" s="234" t="s">
        <v>337</v>
      </c>
      <c r="I196" s="235"/>
      <c r="J196" s="234" t="s">
        <v>337</v>
      </c>
      <c r="K196" s="235"/>
      <c r="L196" s="132" t="s">
        <v>337</v>
      </c>
      <c r="M196" s="132" t="s">
        <v>337</v>
      </c>
      <c r="N196" s="132" t="s">
        <v>337</v>
      </c>
      <c r="O196" s="69"/>
      <c r="P196" s="69"/>
    </row>
    <row r="197" spans="2:20" ht="21.75" customHeight="1">
      <c r="B197" s="132">
        <v>244</v>
      </c>
      <c r="C197" s="132">
        <v>8</v>
      </c>
      <c r="D197" s="83" t="s">
        <v>392</v>
      </c>
      <c r="E197" s="132">
        <v>1</v>
      </c>
      <c r="F197" s="150">
        <v>434921.08</v>
      </c>
      <c r="G197" s="150">
        <f t="shared" si="7"/>
        <v>434921.08</v>
      </c>
      <c r="H197" s="234" t="s">
        <v>337</v>
      </c>
      <c r="I197" s="235"/>
      <c r="J197" s="234" t="s">
        <v>337</v>
      </c>
      <c r="K197" s="235"/>
      <c r="L197" s="132" t="s">
        <v>337</v>
      </c>
      <c r="M197" s="132" t="s">
        <v>337</v>
      </c>
      <c r="N197" s="132" t="s">
        <v>337</v>
      </c>
      <c r="O197" s="69"/>
      <c r="P197" s="69"/>
    </row>
    <row r="198" spans="2:20" ht="30.75" customHeight="1">
      <c r="B198" s="132">
        <v>244</v>
      </c>
      <c r="C198" s="132">
        <v>9</v>
      </c>
      <c r="D198" s="83" t="s">
        <v>360</v>
      </c>
      <c r="E198" s="132">
        <v>1</v>
      </c>
      <c r="F198" s="150">
        <v>6136</v>
      </c>
      <c r="G198" s="150">
        <f t="shared" si="7"/>
        <v>6136</v>
      </c>
      <c r="H198" s="234" t="s">
        <v>337</v>
      </c>
      <c r="I198" s="235"/>
      <c r="J198" s="234" t="s">
        <v>337</v>
      </c>
      <c r="K198" s="235"/>
      <c r="L198" s="132" t="s">
        <v>337</v>
      </c>
      <c r="M198" s="132" t="s">
        <v>337</v>
      </c>
      <c r="N198" s="132" t="s">
        <v>337</v>
      </c>
      <c r="O198" s="69"/>
      <c r="P198" s="69"/>
    </row>
    <row r="199" spans="2:20" ht="30.75" hidden="1" customHeight="1">
      <c r="B199" s="132">
        <v>244</v>
      </c>
      <c r="C199" s="132">
        <v>11</v>
      </c>
      <c r="D199" s="83" t="s">
        <v>371</v>
      </c>
      <c r="E199" s="132">
        <v>1</v>
      </c>
      <c r="F199" s="150"/>
      <c r="G199" s="150">
        <f t="shared" si="7"/>
        <v>0</v>
      </c>
      <c r="H199" s="234" t="s">
        <v>337</v>
      </c>
      <c r="I199" s="235"/>
      <c r="J199" s="234" t="s">
        <v>337</v>
      </c>
      <c r="K199" s="235"/>
      <c r="L199" s="132" t="s">
        <v>337</v>
      </c>
      <c r="M199" s="132" t="s">
        <v>337</v>
      </c>
      <c r="N199" s="132" t="s">
        <v>337</v>
      </c>
      <c r="O199" s="69"/>
      <c r="P199" s="69"/>
    </row>
    <row r="200" spans="2:20" ht="55.5" hidden="1" customHeight="1">
      <c r="B200" s="132">
        <v>244</v>
      </c>
      <c r="C200" s="132">
        <v>12</v>
      </c>
      <c r="D200" s="83" t="s">
        <v>370</v>
      </c>
      <c r="E200" s="132">
        <v>1</v>
      </c>
      <c r="F200" s="150"/>
      <c r="G200" s="150">
        <f t="shared" si="7"/>
        <v>0</v>
      </c>
      <c r="H200" s="234" t="s">
        <v>337</v>
      </c>
      <c r="I200" s="235"/>
      <c r="J200" s="234" t="s">
        <v>337</v>
      </c>
      <c r="K200" s="235"/>
      <c r="L200" s="132" t="s">
        <v>337</v>
      </c>
      <c r="M200" s="132" t="s">
        <v>337</v>
      </c>
      <c r="N200" s="132" t="s">
        <v>337</v>
      </c>
      <c r="O200" s="69"/>
      <c r="P200" s="69"/>
    </row>
    <row r="201" spans="2:20" ht="55.5" hidden="1" customHeight="1">
      <c r="B201" s="132">
        <v>244</v>
      </c>
      <c r="C201" s="132">
        <v>13</v>
      </c>
      <c r="D201" s="83" t="s">
        <v>361</v>
      </c>
      <c r="E201" s="132">
        <v>1</v>
      </c>
      <c r="F201" s="150"/>
      <c r="G201" s="150">
        <f t="shared" si="7"/>
        <v>0</v>
      </c>
      <c r="H201" s="234" t="s">
        <v>337</v>
      </c>
      <c r="I201" s="235"/>
      <c r="J201" s="234" t="s">
        <v>337</v>
      </c>
      <c r="K201" s="235"/>
      <c r="L201" s="132" t="s">
        <v>337</v>
      </c>
      <c r="M201" s="132" t="s">
        <v>337</v>
      </c>
      <c r="N201" s="132" t="s">
        <v>337</v>
      </c>
      <c r="O201" s="69"/>
      <c r="P201" s="69"/>
    </row>
    <row r="202" spans="2:20" ht="36" customHeight="1">
      <c r="B202" s="132">
        <v>244</v>
      </c>
      <c r="C202" s="132">
        <v>10</v>
      </c>
      <c r="D202" s="83" t="s">
        <v>432</v>
      </c>
      <c r="E202" s="132">
        <v>1</v>
      </c>
      <c r="F202" s="150">
        <v>1250</v>
      </c>
      <c r="G202" s="150">
        <f t="shared" si="7"/>
        <v>1250</v>
      </c>
      <c r="H202" s="233" t="s">
        <v>9</v>
      </c>
      <c r="I202" s="233"/>
      <c r="J202" s="233" t="s">
        <v>9</v>
      </c>
      <c r="K202" s="233"/>
      <c r="L202" s="132" t="s">
        <v>9</v>
      </c>
      <c r="M202" s="132" t="s">
        <v>9</v>
      </c>
      <c r="N202" s="132" t="s">
        <v>9</v>
      </c>
      <c r="O202" s="69"/>
      <c r="P202" s="69"/>
    </row>
    <row r="203" spans="2:20" ht="36" hidden="1" customHeight="1">
      <c r="B203" s="132">
        <v>243</v>
      </c>
      <c r="C203" s="132">
        <v>10</v>
      </c>
      <c r="D203" s="83" t="s">
        <v>389</v>
      </c>
      <c r="E203" s="132">
        <v>1</v>
      </c>
      <c r="F203" s="150">
        <v>0</v>
      </c>
      <c r="G203" s="150">
        <f t="shared" si="7"/>
        <v>0</v>
      </c>
      <c r="H203" s="234" t="s">
        <v>337</v>
      </c>
      <c r="I203" s="235"/>
      <c r="J203" s="234" t="s">
        <v>337</v>
      </c>
      <c r="K203" s="235"/>
      <c r="L203" s="132" t="s">
        <v>337</v>
      </c>
      <c r="M203" s="132" t="s">
        <v>337</v>
      </c>
      <c r="N203" s="132" t="s">
        <v>337</v>
      </c>
      <c r="O203" s="69"/>
      <c r="P203" s="69"/>
    </row>
    <row r="204" spans="2:20" ht="104.25" hidden="1" customHeight="1">
      <c r="B204" s="132">
        <v>112</v>
      </c>
      <c r="C204" s="132">
        <v>11</v>
      </c>
      <c r="D204" s="55" t="s">
        <v>341</v>
      </c>
      <c r="E204" s="132">
        <v>1</v>
      </c>
      <c r="F204" s="150">
        <v>0</v>
      </c>
      <c r="G204" s="150">
        <f t="shared" si="7"/>
        <v>0</v>
      </c>
      <c r="H204" s="233" t="s">
        <v>9</v>
      </c>
      <c r="I204" s="233"/>
      <c r="J204" s="233" t="s">
        <v>9</v>
      </c>
      <c r="K204" s="233"/>
      <c r="L204" s="132" t="s">
        <v>9</v>
      </c>
      <c r="M204" s="132" t="s">
        <v>9</v>
      </c>
      <c r="N204" s="132" t="s">
        <v>9</v>
      </c>
      <c r="O204" s="69"/>
      <c r="P204" s="69"/>
    </row>
    <row r="205" spans="2:20" ht="20.25" hidden="1" customHeight="1">
      <c r="B205" s="132">
        <v>244</v>
      </c>
      <c r="C205" s="132">
        <v>12</v>
      </c>
      <c r="D205" s="83" t="s">
        <v>316</v>
      </c>
      <c r="E205" s="132">
        <v>1</v>
      </c>
      <c r="F205" s="150">
        <v>0</v>
      </c>
      <c r="G205" s="150">
        <f t="shared" si="7"/>
        <v>0</v>
      </c>
      <c r="H205" s="233" t="s">
        <v>9</v>
      </c>
      <c r="I205" s="233"/>
      <c r="J205" s="233" t="s">
        <v>9</v>
      </c>
      <c r="K205" s="233"/>
      <c r="L205" s="132" t="s">
        <v>9</v>
      </c>
      <c r="M205" s="132" t="s">
        <v>9</v>
      </c>
      <c r="N205" s="132" t="s">
        <v>9</v>
      </c>
      <c r="O205" s="69"/>
      <c r="P205" s="69"/>
    </row>
    <row r="206" spans="2:20" ht="74.25" hidden="1" customHeight="1">
      <c r="B206" s="132">
        <v>244</v>
      </c>
      <c r="C206" s="132">
        <v>13</v>
      </c>
      <c r="D206" s="83" t="s">
        <v>396</v>
      </c>
      <c r="E206" s="132">
        <v>1</v>
      </c>
      <c r="F206" s="150">
        <v>0</v>
      </c>
      <c r="G206" s="150">
        <v>0</v>
      </c>
      <c r="H206" s="234" t="s">
        <v>337</v>
      </c>
      <c r="I206" s="235"/>
      <c r="J206" s="234" t="s">
        <v>337</v>
      </c>
      <c r="K206" s="235"/>
      <c r="L206" s="132" t="s">
        <v>337</v>
      </c>
      <c r="M206" s="132" t="s">
        <v>337</v>
      </c>
      <c r="N206" s="132" t="s">
        <v>337</v>
      </c>
      <c r="O206" s="69"/>
      <c r="P206" s="69"/>
    </row>
    <row r="207" spans="2:20" ht="34.5" hidden="1" customHeight="1">
      <c r="B207" s="132">
        <v>244</v>
      </c>
      <c r="C207" s="132">
        <v>14</v>
      </c>
      <c r="D207" s="83" t="s">
        <v>392</v>
      </c>
      <c r="E207" s="132">
        <v>1</v>
      </c>
      <c r="F207" s="150">
        <v>0</v>
      </c>
      <c r="G207" s="150">
        <f t="shared" si="7"/>
        <v>0</v>
      </c>
      <c r="H207" s="130"/>
      <c r="I207" s="131"/>
      <c r="J207" s="130"/>
      <c r="K207" s="131"/>
      <c r="L207" s="132"/>
      <c r="M207" s="132"/>
      <c r="N207" s="132"/>
      <c r="O207" s="69"/>
      <c r="P207" s="69"/>
    </row>
    <row r="208" spans="2:20" ht="166.5" customHeight="1">
      <c r="B208" s="132">
        <v>244</v>
      </c>
      <c r="C208" s="132">
        <v>12</v>
      </c>
      <c r="D208" s="83" t="s">
        <v>278</v>
      </c>
      <c r="E208" s="132">
        <v>1</v>
      </c>
      <c r="F208" s="150">
        <v>171586</v>
      </c>
      <c r="G208" s="150">
        <f t="shared" si="7"/>
        <v>171586</v>
      </c>
      <c r="H208" s="233" t="s">
        <v>9</v>
      </c>
      <c r="I208" s="233"/>
      <c r="J208" s="233" t="s">
        <v>9</v>
      </c>
      <c r="K208" s="233"/>
      <c r="L208" s="132" t="s">
        <v>9</v>
      </c>
      <c r="M208" s="132" t="s">
        <v>9</v>
      </c>
      <c r="N208" s="132" t="s">
        <v>9</v>
      </c>
      <c r="O208" s="69"/>
      <c r="P208" s="69"/>
    </row>
    <row r="209" spans="2:18" ht="15.75" customHeight="1">
      <c r="B209" s="187"/>
      <c r="C209" s="237" t="s">
        <v>23</v>
      </c>
      <c r="D209" s="238"/>
      <c r="E209" s="140" t="s">
        <v>9</v>
      </c>
      <c r="F209" s="140"/>
      <c r="G209" s="143">
        <f>SUM(G189:G208)</f>
        <v>682541.48</v>
      </c>
      <c r="H209" s="282">
        <f>T189</f>
        <v>462455.48</v>
      </c>
      <c r="I209" s="282"/>
      <c r="J209" s="239">
        <f>T191</f>
        <v>179286</v>
      </c>
      <c r="K209" s="268"/>
      <c r="L209" s="134">
        <v>0</v>
      </c>
      <c r="M209" s="134">
        <f>T190</f>
        <v>40800</v>
      </c>
      <c r="N209" s="145">
        <v>0</v>
      </c>
      <c r="O209" s="59"/>
      <c r="P209" s="59"/>
      <c r="Q209" s="96">
        <f>SUM(H209:M209)</f>
        <v>682541.48</v>
      </c>
      <c r="R209" s="78">
        <f>Q209-G209</f>
        <v>0</v>
      </c>
    </row>
    <row r="210" spans="2:18" ht="15.75">
      <c r="B210" s="52"/>
      <c r="C210" s="52"/>
      <c r="D210" s="52"/>
      <c r="E210" s="52"/>
      <c r="F210" s="188"/>
      <c r="G210" s="188"/>
      <c r="H210" s="118"/>
      <c r="I210" s="52"/>
      <c r="J210" s="118"/>
      <c r="K210" s="52"/>
      <c r="L210" s="52"/>
      <c r="M210" s="52"/>
      <c r="N210" s="186"/>
      <c r="O210" s="186"/>
      <c r="P210" s="186"/>
      <c r="Q210" s="53" t="b">
        <f>G209=Q209</f>
        <v>1</v>
      </c>
    </row>
    <row r="211" spans="2:18" ht="24" customHeight="1">
      <c r="B211" s="52"/>
      <c r="C211" s="236" t="s">
        <v>293</v>
      </c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52"/>
      <c r="O211" s="52"/>
      <c r="P211" s="52"/>
    </row>
    <row r="212" spans="2:18" ht="15.75"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</row>
    <row r="213" spans="2:18" ht="31.5" customHeight="1">
      <c r="B213" s="240" t="s">
        <v>193</v>
      </c>
      <c r="C213" s="240" t="s">
        <v>2</v>
      </c>
      <c r="D213" s="240" t="s">
        <v>24</v>
      </c>
      <c r="E213" s="240" t="s">
        <v>247</v>
      </c>
      <c r="F213" s="240" t="s">
        <v>248</v>
      </c>
      <c r="G213" s="135" t="s">
        <v>210</v>
      </c>
      <c r="H213" s="240" t="s">
        <v>195</v>
      </c>
      <c r="I213" s="240"/>
      <c r="J213" s="240"/>
      <c r="K213" s="240"/>
      <c r="L213" s="240"/>
      <c r="M213" s="240"/>
      <c r="N213" s="240"/>
      <c r="O213" s="59"/>
      <c r="P213" s="59"/>
    </row>
    <row r="214" spans="2:18" ht="99.75" customHeight="1">
      <c r="B214" s="240"/>
      <c r="C214" s="240"/>
      <c r="D214" s="240"/>
      <c r="E214" s="240"/>
      <c r="F214" s="240"/>
      <c r="G214" s="240" t="s">
        <v>241</v>
      </c>
      <c r="H214" s="240" t="s">
        <v>196</v>
      </c>
      <c r="I214" s="240"/>
      <c r="J214" s="253" t="s">
        <v>197</v>
      </c>
      <c r="K214" s="253"/>
      <c r="L214" s="242" t="s">
        <v>198</v>
      </c>
      <c r="M214" s="242" t="s">
        <v>199</v>
      </c>
      <c r="N214" s="242"/>
      <c r="O214" s="59"/>
      <c r="P214" s="142"/>
    </row>
    <row r="215" spans="2:18" ht="15.75" customHeight="1">
      <c r="B215" s="240"/>
      <c r="C215" s="240"/>
      <c r="D215" s="240"/>
      <c r="E215" s="240"/>
      <c r="F215" s="240"/>
      <c r="G215" s="240"/>
      <c r="H215" s="240"/>
      <c r="I215" s="240"/>
      <c r="J215" s="253"/>
      <c r="K215" s="253"/>
      <c r="L215" s="242"/>
      <c r="M215" s="136" t="s">
        <v>14</v>
      </c>
      <c r="N215" s="136" t="s">
        <v>200</v>
      </c>
      <c r="O215" s="142"/>
      <c r="P215" s="142"/>
    </row>
    <row r="216" spans="2:18" ht="15.75">
      <c r="B216" s="135">
        <v>1</v>
      </c>
      <c r="C216" s="135">
        <v>2</v>
      </c>
      <c r="D216" s="135">
        <v>3</v>
      </c>
      <c r="E216" s="135">
        <v>4</v>
      </c>
      <c r="F216" s="135">
        <v>5</v>
      </c>
      <c r="G216" s="135">
        <v>6</v>
      </c>
      <c r="H216" s="240">
        <v>7</v>
      </c>
      <c r="I216" s="240"/>
      <c r="J216" s="240">
        <v>8</v>
      </c>
      <c r="K216" s="240"/>
      <c r="L216" s="135">
        <v>9</v>
      </c>
      <c r="M216" s="135">
        <v>10</v>
      </c>
      <c r="N216" s="135">
        <v>11</v>
      </c>
      <c r="O216" s="142"/>
      <c r="P216" s="142"/>
    </row>
    <row r="217" spans="2:18" ht="18" customHeight="1">
      <c r="B217" s="132">
        <v>244</v>
      </c>
      <c r="C217" s="132">
        <v>1</v>
      </c>
      <c r="D217" s="84" t="s">
        <v>424</v>
      </c>
      <c r="E217" s="68">
        <v>1</v>
      </c>
      <c r="F217" s="66">
        <v>2500</v>
      </c>
      <c r="G217" s="66">
        <f>F217</f>
        <v>2500</v>
      </c>
      <c r="H217" s="291" t="s">
        <v>9</v>
      </c>
      <c r="I217" s="291"/>
      <c r="J217" s="291" t="s">
        <v>9</v>
      </c>
      <c r="K217" s="291"/>
      <c r="L217" s="150" t="s">
        <v>9</v>
      </c>
      <c r="M217" s="150" t="s">
        <v>9</v>
      </c>
      <c r="N217" s="150" t="s">
        <v>9</v>
      </c>
      <c r="O217" s="67"/>
      <c r="P217" s="67"/>
    </row>
    <row r="218" spans="2:18" s="50" customFormat="1" ht="15.75">
      <c r="B218" s="132"/>
      <c r="C218" s="237" t="s">
        <v>23</v>
      </c>
      <c r="D218" s="238"/>
      <c r="E218" s="134" t="s">
        <v>9</v>
      </c>
      <c r="F218" s="134" t="s">
        <v>9</v>
      </c>
      <c r="G218" s="134">
        <f>SUM(G217)</f>
        <v>2500</v>
      </c>
      <c r="H218" s="239">
        <f>G218</f>
        <v>2500</v>
      </c>
      <c r="I218" s="239"/>
      <c r="J218" s="239">
        <v>0</v>
      </c>
      <c r="K218" s="239"/>
      <c r="L218" s="134">
        <v>0</v>
      </c>
      <c r="M218" s="134">
        <v>0</v>
      </c>
      <c r="N218" s="134">
        <v>0</v>
      </c>
      <c r="O218" s="49"/>
      <c r="P218" s="49"/>
      <c r="Q218" s="49" t="s">
        <v>305</v>
      </c>
      <c r="R218" s="49"/>
    </row>
    <row r="219" spans="2:18" s="50" customFormat="1" ht="15.75">
      <c r="B219" s="57"/>
      <c r="C219" s="111"/>
      <c r="D219" s="111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</row>
    <row r="220" spans="2:18" s="50" customFormat="1" ht="15.75" customHeight="1">
      <c r="B220" s="57"/>
      <c r="C220" s="111"/>
      <c r="D220" s="236" t="s">
        <v>342</v>
      </c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49"/>
      <c r="P220" s="49"/>
      <c r="Q220" s="49"/>
      <c r="R220" s="49"/>
    </row>
    <row r="221" spans="2:18" s="50" customFormat="1" ht="15.75" customHeight="1">
      <c r="B221" s="57"/>
      <c r="C221" s="111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49"/>
      <c r="P221" s="49"/>
      <c r="Q221" s="49"/>
      <c r="R221" s="49"/>
    </row>
    <row r="222" spans="2:18" s="50" customFormat="1" ht="15.75">
      <c r="B222" s="240" t="s">
        <v>193</v>
      </c>
      <c r="C222" s="240" t="s">
        <v>2</v>
      </c>
      <c r="D222" s="240" t="s">
        <v>24</v>
      </c>
      <c r="E222" s="240" t="s">
        <v>247</v>
      </c>
      <c r="F222" s="240" t="s">
        <v>248</v>
      </c>
      <c r="G222" s="135" t="s">
        <v>210</v>
      </c>
      <c r="H222" s="240" t="s">
        <v>195</v>
      </c>
      <c r="I222" s="240"/>
      <c r="J222" s="240"/>
      <c r="K222" s="240"/>
      <c r="L222" s="240"/>
      <c r="M222" s="240"/>
      <c r="N222" s="240"/>
      <c r="O222" s="49"/>
      <c r="P222" s="49"/>
      <c r="Q222" s="49"/>
      <c r="R222" s="49"/>
    </row>
    <row r="223" spans="2:18" s="50" customFormat="1" ht="15.75">
      <c r="B223" s="240"/>
      <c r="C223" s="240"/>
      <c r="D223" s="240"/>
      <c r="E223" s="240"/>
      <c r="F223" s="240"/>
      <c r="G223" s="240" t="s">
        <v>241</v>
      </c>
      <c r="H223" s="240" t="s">
        <v>196</v>
      </c>
      <c r="I223" s="240"/>
      <c r="J223" s="253" t="s">
        <v>197</v>
      </c>
      <c r="K223" s="253"/>
      <c r="L223" s="242" t="s">
        <v>198</v>
      </c>
      <c r="M223" s="242" t="s">
        <v>199</v>
      </c>
      <c r="N223" s="242"/>
      <c r="O223" s="49"/>
      <c r="P223" s="49"/>
      <c r="Q223" s="49"/>
      <c r="R223" s="49"/>
    </row>
    <row r="224" spans="2:18" s="50" customFormat="1" ht="31.5">
      <c r="B224" s="240"/>
      <c r="C224" s="240"/>
      <c r="D224" s="240"/>
      <c r="E224" s="240"/>
      <c r="F224" s="240"/>
      <c r="G224" s="240"/>
      <c r="H224" s="240"/>
      <c r="I224" s="240"/>
      <c r="J224" s="253"/>
      <c r="K224" s="253"/>
      <c r="L224" s="242"/>
      <c r="M224" s="136" t="s">
        <v>14</v>
      </c>
      <c r="N224" s="136" t="s">
        <v>200</v>
      </c>
      <c r="O224" s="49"/>
      <c r="P224" s="49"/>
      <c r="Q224" s="49"/>
      <c r="R224" s="49"/>
    </row>
    <row r="225" spans="2:20" s="50" customFormat="1" ht="21" customHeight="1">
      <c r="B225" s="135">
        <v>1</v>
      </c>
      <c r="C225" s="135">
        <v>2</v>
      </c>
      <c r="D225" s="135">
        <v>3</v>
      </c>
      <c r="E225" s="135">
        <v>4</v>
      </c>
      <c r="F225" s="135">
        <v>5</v>
      </c>
      <c r="G225" s="135">
        <v>6</v>
      </c>
      <c r="H225" s="240">
        <v>7</v>
      </c>
      <c r="I225" s="240"/>
      <c r="J225" s="240">
        <v>8</v>
      </c>
      <c r="K225" s="240"/>
      <c r="L225" s="135">
        <v>9</v>
      </c>
      <c r="M225" s="135">
        <v>10</v>
      </c>
      <c r="N225" s="135">
        <v>11</v>
      </c>
      <c r="O225" s="49"/>
      <c r="P225" s="49"/>
      <c r="Q225" s="49"/>
      <c r="R225" s="49"/>
    </row>
    <row r="226" spans="2:20" s="50" customFormat="1" ht="19.899999999999999" customHeight="1">
      <c r="B226" s="132">
        <v>244</v>
      </c>
      <c r="C226" s="132" t="s">
        <v>201</v>
      </c>
      <c r="D226" s="56"/>
      <c r="E226" s="68">
        <v>1</v>
      </c>
      <c r="F226" s="66"/>
      <c r="G226" s="66">
        <f>ROUND((E226*F226),1)</f>
        <v>0</v>
      </c>
      <c r="H226" s="291" t="s">
        <v>9</v>
      </c>
      <c r="I226" s="291"/>
      <c r="J226" s="291" t="s">
        <v>9</v>
      </c>
      <c r="K226" s="291"/>
      <c r="L226" s="150" t="s">
        <v>9</v>
      </c>
      <c r="M226" s="150" t="s">
        <v>9</v>
      </c>
      <c r="N226" s="150" t="s">
        <v>9</v>
      </c>
      <c r="O226" s="49"/>
      <c r="P226" s="49"/>
      <c r="Q226" s="49"/>
      <c r="R226" s="49"/>
    </row>
    <row r="227" spans="2:20" s="50" customFormat="1" ht="26.25" customHeight="1">
      <c r="B227" s="132"/>
      <c r="C227" s="237" t="s">
        <v>23</v>
      </c>
      <c r="D227" s="238"/>
      <c r="E227" s="134" t="s">
        <v>9</v>
      </c>
      <c r="F227" s="134" t="s">
        <v>9</v>
      </c>
      <c r="G227" s="134">
        <f>SUM(G226)</f>
        <v>0</v>
      </c>
      <c r="H227" s="239">
        <f>G227</f>
        <v>0</v>
      </c>
      <c r="I227" s="239"/>
      <c r="J227" s="239">
        <v>0</v>
      </c>
      <c r="K227" s="239"/>
      <c r="L227" s="134">
        <v>0</v>
      </c>
      <c r="M227" s="134">
        <v>0</v>
      </c>
      <c r="N227" s="134">
        <v>0</v>
      </c>
      <c r="O227" s="49"/>
      <c r="P227" s="49"/>
      <c r="Q227" s="49"/>
      <c r="R227" s="49"/>
    </row>
    <row r="228" spans="2:20" s="50" customFormat="1" ht="15.75">
      <c r="B228" s="57"/>
      <c r="C228" s="111"/>
      <c r="D228" s="111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</row>
    <row r="229" spans="2:20" s="50" customFormat="1" ht="15.75" customHeight="1">
      <c r="B229" s="47"/>
      <c r="C229" s="47"/>
      <c r="D229" s="48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</row>
    <row r="230" spans="2:20" ht="26.25" customHeight="1">
      <c r="B230" s="52"/>
      <c r="C230" s="236" t="s">
        <v>343</v>
      </c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52"/>
      <c r="O230" s="52"/>
      <c r="P230" s="52"/>
    </row>
    <row r="231" spans="2:20" ht="15.75" customHeight="1"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</row>
    <row r="232" spans="2:20" ht="31.5" customHeight="1">
      <c r="B232" s="240" t="s">
        <v>193</v>
      </c>
      <c r="C232" s="240" t="s">
        <v>2</v>
      </c>
      <c r="D232" s="240" t="s">
        <v>24</v>
      </c>
      <c r="E232" s="240" t="s">
        <v>239</v>
      </c>
      <c r="F232" s="240">
        <v>3</v>
      </c>
      <c r="G232" s="135" t="s">
        <v>210</v>
      </c>
      <c r="H232" s="240" t="s">
        <v>195</v>
      </c>
      <c r="I232" s="240"/>
      <c r="J232" s="240"/>
      <c r="K232" s="240"/>
      <c r="L232" s="240"/>
      <c r="M232" s="240"/>
      <c r="N232" s="240"/>
      <c r="O232" s="59"/>
      <c r="P232" s="59"/>
    </row>
    <row r="233" spans="2:20" ht="100.5" customHeight="1">
      <c r="B233" s="240"/>
      <c r="C233" s="240"/>
      <c r="D233" s="240"/>
      <c r="E233" s="240"/>
      <c r="F233" s="240"/>
      <c r="G233" s="240" t="s">
        <v>241</v>
      </c>
      <c r="H233" s="240" t="s">
        <v>196</v>
      </c>
      <c r="I233" s="240"/>
      <c r="J233" s="253" t="s">
        <v>197</v>
      </c>
      <c r="K233" s="253"/>
      <c r="L233" s="242" t="s">
        <v>198</v>
      </c>
      <c r="M233" s="242" t="s">
        <v>199</v>
      </c>
      <c r="N233" s="242"/>
      <c r="O233" s="59"/>
      <c r="P233" s="142"/>
    </row>
    <row r="234" spans="2:20" ht="31.5">
      <c r="B234" s="240"/>
      <c r="C234" s="240"/>
      <c r="D234" s="240"/>
      <c r="E234" s="240"/>
      <c r="F234" s="240"/>
      <c r="G234" s="240"/>
      <c r="H234" s="240"/>
      <c r="I234" s="240"/>
      <c r="J234" s="253"/>
      <c r="K234" s="253"/>
      <c r="L234" s="242"/>
      <c r="M234" s="136" t="s">
        <v>14</v>
      </c>
      <c r="N234" s="136" t="s">
        <v>200</v>
      </c>
      <c r="O234" s="142"/>
      <c r="P234" s="142"/>
      <c r="S234" s="53" t="s">
        <v>315</v>
      </c>
      <c r="T234" s="53">
        <v>0</v>
      </c>
    </row>
    <row r="235" spans="2:20" ht="15.75" customHeight="1">
      <c r="B235" s="135">
        <v>1</v>
      </c>
      <c r="C235" s="135">
        <v>2</v>
      </c>
      <c r="D235" s="135">
        <v>3</v>
      </c>
      <c r="E235" s="135">
        <v>4</v>
      </c>
      <c r="F235" s="135">
        <v>5</v>
      </c>
      <c r="G235" s="135">
        <v>6</v>
      </c>
      <c r="H235" s="240">
        <v>7</v>
      </c>
      <c r="I235" s="240"/>
      <c r="J235" s="240">
        <v>8</v>
      </c>
      <c r="K235" s="240"/>
      <c r="L235" s="135">
        <v>9</v>
      </c>
      <c r="M235" s="135">
        <v>10</v>
      </c>
      <c r="N235" s="135">
        <v>11</v>
      </c>
      <c r="O235" s="142"/>
      <c r="P235" s="142"/>
    </row>
    <row r="236" spans="2:20" ht="70.5" hidden="1" customHeight="1">
      <c r="B236" s="135">
        <v>244</v>
      </c>
      <c r="C236" s="135">
        <v>1</v>
      </c>
      <c r="D236" s="146" t="s">
        <v>363</v>
      </c>
      <c r="E236" s="132">
        <v>1</v>
      </c>
      <c r="F236" s="132">
        <v>0</v>
      </c>
      <c r="G236" s="132">
        <f>F236</f>
        <v>0</v>
      </c>
      <c r="H236" s="234" t="s">
        <v>337</v>
      </c>
      <c r="I236" s="235"/>
      <c r="J236" s="234" t="s">
        <v>337</v>
      </c>
      <c r="K236" s="235"/>
      <c r="L236" s="132" t="s">
        <v>337</v>
      </c>
      <c r="M236" s="132" t="s">
        <v>337</v>
      </c>
      <c r="N236" s="132" t="s">
        <v>337</v>
      </c>
      <c r="O236" s="142"/>
      <c r="P236" s="142"/>
    </row>
    <row r="237" spans="2:20" ht="50.25" hidden="1" customHeight="1">
      <c r="B237" s="135">
        <v>244</v>
      </c>
      <c r="C237" s="135">
        <v>2</v>
      </c>
      <c r="D237" s="146" t="s">
        <v>364</v>
      </c>
      <c r="E237" s="132">
        <v>1</v>
      </c>
      <c r="F237" s="132">
        <v>0</v>
      </c>
      <c r="G237" s="132">
        <f>F237</f>
        <v>0</v>
      </c>
      <c r="H237" s="234" t="s">
        <v>337</v>
      </c>
      <c r="I237" s="235"/>
      <c r="J237" s="234" t="s">
        <v>337</v>
      </c>
      <c r="K237" s="235"/>
      <c r="L237" s="132" t="s">
        <v>337</v>
      </c>
      <c r="M237" s="132" t="s">
        <v>337</v>
      </c>
      <c r="N237" s="132" t="s">
        <v>337</v>
      </c>
      <c r="O237" s="142"/>
      <c r="P237" s="142"/>
    </row>
    <row r="238" spans="2:20" ht="33" hidden="1" customHeight="1">
      <c r="B238" s="135">
        <v>244</v>
      </c>
      <c r="C238" s="135"/>
      <c r="D238" s="146"/>
      <c r="E238" s="132">
        <v>0</v>
      </c>
      <c r="F238" s="132">
        <v>0</v>
      </c>
      <c r="G238" s="132">
        <v>0</v>
      </c>
      <c r="H238" s="234" t="s">
        <v>337</v>
      </c>
      <c r="I238" s="235"/>
      <c r="J238" s="234" t="s">
        <v>337</v>
      </c>
      <c r="K238" s="235"/>
      <c r="L238" s="132" t="s">
        <v>337</v>
      </c>
      <c r="M238" s="132" t="s">
        <v>337</v>
      </c>
      <c r="N238" s="132" t="s">
        <v>337</v>
      </c>
      <c r="O238" s="142"/>
      <c r="P238" s="142"/>
    </row>
    <row r="239" spans="2:20" ht="24.75" hidden="1" customHeight="1">
      <c r="B239" s="132">
        <v>244</v>
      </c>
      <c r="C239" s="132"/>
      <c r="D239" s="55"/>
      <c r="E239" s="132">
        <v>0</v>
      </c>
      <c r="F239" s="150">
        <v>0</v>
      </c>
      <c r="G239" s="150">
        <v>0</v>
      </c>
      <c r="H239" s="234" t="s">
        <v>9</v>
      </c>
      <c r="I239" s="235"/>
      <c r="J239" s="234" t="s">
        <v>9</v>
      </c>
      <c r="K239" s="235"/>
      <c r="L239" s="132" t="s">
        <v>9</v>
      </c>
      <c r="M239" s="132" t="s">
        <v>9</v>
      </c>
      <c r="N239" s="132" t="s">
        <v>9</v>
      </c>
      <c r="O239" s="57"/>
      <c r="P239" s="57"/>
      <c r="S239" s="53" t="s">
        <v>362</v>
      </c>
      <c r="T239" s="53">
        <v>0</v>
      </c>
    </row>
    <row r="240" spans="2:20" ht="14.45" customHeight="1">
      <c r="B240" s="132">
        <v>244</v>
      </c>
      <c r="C240" s="130"/>
      <c r="D240" s="55"/>
      <c r="E240" s="132">
        <v>0</v>
      </c>
      <c r="F240" s="150">
        <f>E240</f>
        <v>0</v>
      </c>
      <c r="G240" s="150">
        <v>0</v>
      </c>
      <c r="H240" s="130"/>
      <c r="I240" s="131"/>
      <c r="J240" s="130"/>
      <c r="K240" s="131"/>
      <c r="L240" s="132"/>
      <c r="M240" s="132"/>
      <c r="N240" s="132"/>
      <c r="O240" s="57"/>
      <c r="P240" s="57"/>
    </row>
    <row r="241" spans="2:21" s="50" customFormat="1" ht="15.75">
      <c r="B241" s="84"/>
      <c r="C241" s="237" t="s">
        <v>23</v>
      </c>
      <c r="D241" s="238"/>
      <c r="E241" s="140" t="s">
        <v>9</v>
      </c>
      <c r="F241" s="140" t="s">
        <v>9</v>
      </c>
      <c r="G241" s="143">
        <f>SUM(G236:G240)</f>
        <v>0</v>
      </c>
      <c r="H241" s="295">
        <f>T233+T234</f>
        <v>0</v>
      </c>
      <c r="I241" s="296"/>
      <c r="J241" s="239">
        <f>T239</f>
        <v>0</v>
      </c>
      <c r="K241" s="268"/>
      <c r="L241" s="143">
        <v>0</v>
      </c>
      <c r="M241" s="143">
        <v>0</v>
      </c>
      <c r="N241" s="143">
        <v>0</v>
      </c>
      <c r="O241" s="49"/>
      <c r="P241" s="49"/>
      <c r="S241" s="50" t="s">
        <v>359</v>
      </c>
      <c r="T241" s="50">
        <f>SUM(T233:T239)</f>
        <v>0</v>
      </c>
    </row>
    <row r="242" spans="2:21" ht="15.75" customHeight="1"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3" t="b">
        <f>G241=T241</f>
        <v>1</v>
      </c>
    </row>
    <row r="243" spans="2:21" ht="24.75" customHeight="1">
      <c r="B243" s="52"/>
      <c r="C243" s="236" t="s">
        <v>344</v>
      </c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52"/>
      <c r="O243" s="52"/>
      <c r="P243" s="52"/>
    </row>
    <row r="244" spans="2:21" ht="31.5" customHeight="1">
      <c r="B244" s="240" t="s">
        <v>193</v>
      </c>
      <c r="C244" s="240" t="s">
        <v>2</v>
      </c>
      <c r="D244" s="269" t="s">
        <v>24</v>
      </c>
      <c r="E244" s="270"/>
      <c r="F244" s="240" t="s">
        <v>37</v>
      </c>
      <c r="G244" s="240" t="s">
        <v>240</v>
      </c>
      <c r="H244" s="135" t="s">
        <v>210</v>
      </c>
      <c r="I244" s="240" t="s">
        <v>195</v>
      </c>
      <c r="J244" s="240"/>
      <c r="K244" s="240"/>
      <c r="L244" s="240"/>
      <c r="M244" s="240"/>
      <c r="N244" s="240"/>
      <c r="O244" s="240"/>
      <c r="P244" s="59"/>
    </row>
    <row r="245" spans="2:21" ht="96.75" customHeight="1">
      <c r="B245" s="240"/>
      <c r="C245" s="240"/>
      <c r="D245" s="271"/>
      <c r="E245" s="272"/>
      <c r="F245" s="240"/>
      <c r="G245" s="240"/>
      <c r="H245" s="240" t="s">
        <v>241</v>
      </c>
      <c r="I245" s="240" t="s">
        <v>196</v>
      </c>
      <c r="J245" s="240"/>
      <c r="K245" s="253" t="s">
        <v>197</v>
      </c>
      <c r="L245" s="253"/>
      <c r="M245" s="242" t="s">
        <v>198</v>
      </c>
      <c r="N245" s="242" t="s">
        <v>199</v>
      </c>
      <c r="O245" s="242"/>
      <c r="P245" s="59"/>
    </row>
    <row r="246" spans="2:21" ht="48" customHeight="1">
      <c r="B246" s="240"/>
      <c r="C246" s="240"/>
      <c r="D246" s="273"/>
      <c r="E246" s="274"/>
      <c r="F246" s="240"/>
      <c r="G246" s="240"/>
      <c r="H246" s="240"/>
      <c r="I246" s="240"/>
      <c r="J246" s="240"/>
      <c r="K246" s="253"/>
      <c r="L246" s="253"/>
      <c r="M246" s="242"/>
      <c r="N246" s="136" t="s">
        <v>14</v>
      </c>
      <c r="O246" s="136" t="s">
        <v>200</v>
      </c>
      <c r="P246" s="142"/>
    </row>
    <row r="247" spans="2:21" ht="14.45" customHeight="1">
      <c r="B247" s="135">
        <v>1</v>
      </c>
      <c r="C247" s="135">
        <v>2</v>
      </c>
      <c r="D247" s="254">
        <v>3</v>
      </c>
      <c r="E247" s="255"/>
      <c r="F247" s="135">
        <v>4</v>
      </c>
      <c r="G247" s="135">
        <v>5</v>
      </c>
      <c r="H247" s="135">
        <v>6</v>
      </c>
      <c r="I247" s="240">
        <v>7</v>
      </c>
      <c r="J247" s="240"/>
      <c r="K247" s="240">
        <v>8</v>
      </c>
      <c r="L247" s="240"/>
      <c r="M247" s="135">
        <v>9</v>
      </c>
      <c r="N247" s="135">
        <v>10</v>
      </c>
      <c r="O247" s="135">
        <v>11</v>
      </c>
      <c r="P247" s="142"/>
      <c r="U247" s="53" t="s">
        <v>334</v>
      </c>
    </row>
    <row r="248" spans="2:21" ht="33" customHeight="1">
      <c r="B248" s="132">
        <v>244</v>
      </c>
      <c r="C248" s="132">
        <v>1</v>
      </c>
      <c r="D248" s="298" t="s">
        <v>279</v>
      </c>
      <c r="E248" s="299"/>
      <c r="F248" s="132" t="e">
        <f>ROUND((H248/G248),0)</f>
        <v>#DIV/0!</v>
      </c>
      <c r="G248" s="150">
        <v>0</v>
      </c>
      <c r="H248" s="66">
        <v>0</v>
      </c>
      <c r="I248" s="233" t="s">
        <v>9</v>
      </c>
      <c r="J248" s="233"/>
      <c r="K248" s="233" t="s">
        <v>9</v>
      </c>
      <c r="L248" s="233"/>
      <c r="M248" s="132" t="s">
        <v>9</v>
      </c>
      <c r="N248" s="132" t="s">
        <v>9</v>
      </c>
      <c r="O248" s="132" t="s">
        <v>9</v>
      </c>
      <c r="P248" s="69"/>
      <c r="Q248" s="49" t="s">
        <v>309</v>
      </c>
      <c r="R248" s="49"/>
      <c r="S248" s="100" t="s">
        <v>300</v>
      </c>
      <c r="T248" s="189">
        <v>429215.4</v>
      </c>
    </row>
    <row r="249" spans="2:21" ht="17.25" customHeight="1">
      <c r="B249" s="132">
        <v>244</v>
      </c>
      <c r="C249" s="132">
        <v>2</v>
      </c>
      <c r="D249" s="298" t="s">
        <v>263</v>
      </c>
      <c r="E249" s="299"/>
      <c r="F249" s="132" t="s">
        <v>337</v>
      </c>
      <c r="G249" s="132">
        <f>11.45+12.21+78</f>
        <v>101.66</v>
      </c>
      <c r="H249" s="66">
        <f>SUM(H250:H251)</f>
        <v>1928814.6500000001</v>
      </c>
      <c r="I249" s="233" t="s">
        <v>9</v>
      </c>
      <c r="J249" s="233"/>
      <c r="K249" s="233" t="s">
        <v>9</v>
      </c>
      <c r="L249" s="233"/>
      <c r="M249" s="132" t="s">
        <v>9</v>
      </c>
      <c r="N249" s="132" t="s">
        <v>9</v>
      </c>
      <c r="O249" s="132" t="s">
        <v>9</v>
      </c>
      <c r="P249" s="69"/>
      <c r="Q249" s="49" t="s">
        <v>310</v>
      </c>
      <c r="R249" s="49"/>
      <c r="S249" s="100" t="s">
        <v>294</v>
      </c>
      <c r="T249" s="100">
        <v>1051449.3999999999</v>
      </c>
    </row>
    <row r="250" spans="2:21" ht="18.75" customHeight="1">
      <c r="B250" s="132">
        <v>244</v>
      </c>
      <c r="C250" s="132" t="s">
        <v>31</v>
      </c>
      <c r="D250" s="298" t="s">
        <v>335</v>
      </c>
      <c r="E250" s="299"/>
      <c r="F250" s="132">
        <f t="shared" ref="F250:F258" si="8">ROUND((H250/G250),0)</f>
        <v>59636</v>
      </c>
      <c r="G250" s="132">
        <f>11.45+12.21</f>
        <v>23.66</v>
      </c>
      <c r="H250" s="66">
        <v>1410998.83</v>
      </c>
      <c r="I250" s="233" t="s">
        <v>9</v>
      </c>
      <c r="J250" s="233"/>
      <c r="K250" s="233" t="s">
        <v>9</v>
      </c>
      <c r="L250" s="233"/>
      <c r="M250" s="132" t="s">
        <v>9</v>
      </c>
      <c r="N250" s="132" t="s">
        <v>9</v>
      </c>
      <c r="O250" s="132" t="s">
        <v>9</v>
      </c>
      <c r="P250" s="69"/>
      <c r="Q250" s="49"/>
      <c r="R250" s="49"/>
      <c r="S250" s="100"/>
      <c r="T250" s="100"/>
    </row>
    <row r="251" spans="2:21" ht="18.75" customHeight="1">
      <c r="B251" s="132">
        <v>244</v>
      </c>
      <c r="C251" s="132" t="s">
        <v>32</v>
      </c>
      <c r="D251" s="298" t="s">
        <v>336</v>
      </c>
      <c r="E251" s="299"/>
      <c r="F251" s="132">
        <f t="shared" si="8"/>
        <v>6082</v>
      </c>
      <c r="G251" s="132">
        <v>85.14</v>
      </c>
      <c r="H251" s="66">
        <v>517815.82</v>
      </c>
      <c r="I251" s="233" t="s">
        <v>9</v>
      </c>
      <c r="J251" s="233"/>
      <c r="K251" s="233" t="s">
        <v>9</v>
      </c>
      <c r="L251" s="233"/>
      <c r="M251" s="132" t="s">
        <v>9</v>
      </c>
      <c r="N251" s="132" t="s">
        <v>9</v>
      </c>
      <c r="O251" s="132" t="s">
        <v>9</v>
      </c>
      <c r="P251" s="69"/>
      <c r="Q251" s="49"/>
      <c r="R251" s="49"/>
      <c r="S251" s="100"/>
      <c r="T251" s="100"/>
    </row>
    <row r="252" spans="2:21" ht="33" customHeight="1">
      <c r="B252" s="132">
        <v>244</v>
      </c>
      <c r="C252" s="132" t="s">
        <v>184</v>
      </c>
      <c r="D252" s="298" t="s">
        <v>264</v>
      </c>
      <c r="E252" s="299"/>
      <c r="F252" s="132">
        <f t="shared" si="8"/>
        <v>6918</v>
      </c>
      <c r="G252" s="132">
        <v>44.75</v>
      </c>
      <c r="H252" s="66">
        <v>309600</v>
      </c>
      <c r="I252" s="233" t="s">
        <v>9</v>
      </c>
      <c r="J252" s="233"/>
      <c r="K252" s="233" t="s">
        <v>9</v>
      </c>
      <c r="L252" s="233"/>
      <c r="M252" s="132" t="s">
        <v>9</v>
      </c>
      <c r="N252" s="132" t="s">
        <v>9</v>
      </c>
      <c r="O252" s="132" t="s">
        <v>9</v>
      </c>
      <c r="P252" s="69"/>
      <c r="Q252" s="49" t="s">
        <v>311</v>
      </c>
      <c r="R252" s="49"/>
      <c r="S252" s="100" t="s">
        <v>308</v>
      </c>
      <c r="T252" s="184">
        <v>859956.39</v>
      </c>
    </row>
    <row r="253" spans="2:21" ht="31.5" customHeight="1">
      <c r="B253" s="132">
        <v>244</v>
      </c>
      <c r="C253" s="195" t="s">
        <v>204</v>
      </c>
      <c r="D253" s="298" t="s">
        <v>412</v>
      </c>
      <c r="E253" s="299"/>
      <c r="F253" s="132">
        <v>1</v>
      </c>
      <c r="G253" s="150">
        <v>0</v>
      </c>
      <c r="H253" s="66">
        <v>0</v>
      </c>
      <c r="I253" s="233" t="s">
        <v>9</v>
      </c>
      <c r="J253" s="233"/>
      <c r="K253" s="233" t="s">
        <v>9</v>
      </c>
      <c r="L253" s="233"/>
      <c r="M253" s="132" t="s">
        <v>9</v>
      </c>
      <c r="N253" s="132" t="s">
        <v>9</v>
      </c>
      <c r="O253" s="132" t="s">
        <v>9</v>
      </c>
      <c r="P253" s="142"/>
      <c r="Q253" s="49" t="s">
        <v>312</v>
      </c>
      <c r="R253" s="49"/>
      <c r="S253" s="100" t="s">
        <v>7</v>
      </c>
      <c r="T253" s="185">
        <f>SUM(T248:T252)</f>
        <v>2340621.19</v>
      </c>
      <c r="U253" s="53">
        <f>SUM(U248:U252)</f>
        <v>0</v>
      </c>
    </row>
    <row r="254" spans="2:21" ht="30.75" customHeight="1">
      <c r="B254" s="132">
        <v>244</v>
      </c>
      <c r="C254" s="195" t="s">
        <v>413</v>
      </c>
      <c r="D254" s="298" t="s">
        <v>280</v>
      </c>
      <c r="E254" s="299"/>
      <c r="F254" s="132">
        <f t="shared" si="8"/>
        <v>681</v>
      </c>
      <c r="G254" s="132">
        <v>150</v>
      </c>
      <c r="H254" s="194">
        <f>SUM(H255:H265)</f>
        <v>102206.54000000001</v>
      </c>
      <c r="I254" s="233" t="s">
        <v>9</v>
      </c>
      <c r="J254" s="233"/>
      <c r="K254" s="233" t="s">
        <v>9</v>
      </c>
      <c r="L254" s="233"/>
      <c r="M254" s="132" t="s">
        <v>9</v>
      </c>
      <c r="N254" s="132" t="s">
        <v>9</v>
      </c>
      <c r="O254" s="132" t="s">
        <v>9</v>
      </c>
      <c r="P254" s="69"/>
      <c r="Q254" s="49" t="s">
        <v>313</v>
      </c>
      <c r="R254" s="49"/>
      <c r="T254" s="53" t="b">
        <f>H268=U254</f>
        <v>1</v>
      </c>
      <c r="U254" s="78">
        <f>T253+U253</f>
        <v>2340621.19</v>
      </c>
    </row>
    <row r="255" spans="2:21" ht="18" customHeight="1">
      <c r="B255" s="132">
        <v>244</v>
      </c>
      <c r="C255" s="195" t="s">
        <v>416</v>
      </c>
      <c r="D255" s="231" t="s">
        <v>404</v>
      </c>
      <c r="E255" s="232"/>
      <c r="F255" s="132">
        <v>1</v>
      </c>
      <c r="G255" s="150">
        <v>47206.54</v>
      </c>
      <c r="H255" s="66">
        <f t="shared" ref="H255:H260" si="9">G255</f>
        <v>47206.54</v>
      </c>
      <c r="I255" s="233" t="s">
        <v>9</v>
      </c>
      <c r="J255" s="233"/>
      <c r="K255" s="233" t="s">
        <v>9</v>
      </c>
      <c r="L255" s="233"/>
      <c r="M255" s="132" t="s">
        <v>9</v>
      </c>
      <c r="N255" s="132" t="s">
        <v>9</v>
      </c>
      <c r="O255" s="132" t="s">
        <v>9</v>
      </c>
      <c r="P255" s="69"/>
    </row>
    <row r="256" spans="2:21" ht="20.25" customHeight="1">
      <c r="B256" s="132">
        <v>244</v>
      </c>
      <c r="C256" s="195" t="s">
        <v>417</v>
      </c>
      <c r="D256" s="298" t="s">
        <v>281</v>
      </c>
      <c r="E256" s="299"/>
      <c r="F256" s="132">
        <f t="shared" si="8"/>
        <v>1</v>
      </c>
      <c r="G256" s="150">
        <v>15000</v>
      </c>
      <c r="H256" s="66">
        <f t="shared" si="9"/>
        <v>15000</v>
      </c>
      <c r="I256" s="233" t="s">
        <v>9</v>
      </c>
      <c r="J256" s="233"/>
      <c r="K256" s="233" t="s">
        <v>9</v>
      </c>
      <c r="L256" s="233"/>
      <c r="M256" s="132" t="s">
        <v>9</v>
      </c>
      <c r="N256" s="132" t="s">
        <v>9</v>
      </c>
      <c r="O256" s="132" t="s">
        <v>9</v>
      </c>
      <c r="P256" s="69"/>
    </row>
    <row r="257" spans="2:21" ht="17.25" hidden="1" customHeight="1">
      <c r="B257" s="132">
        <v>244</v>
      </c>
      <c r="C257" s="195" t="s">
        <v>418</v>
      </c>
      <c r="D257" s="231" t="s">
        <v>414</v>
      </c>
      <c r="E257" s="232"/>
      <c r="F257" s="132" t="e">
        <f t="shared" si="8"/>
        <v>#DIV/0!</v>
      </c>
      <c r="G257" s="150">
        <v>0</v>
      </c>
      <c r="H257" s="66">
        <f t="shared" si="9"/>
        <v>0</v>
      </c>
      <c r="I257" s="233" t="s">
        <v>9</v>
      </c>
      <c r="J257" s="233"/>
      <c r="K257" s="233" t="s">
        <v>9</v>
      </c>
      <c r="L257" s="233"/>
      <c r="M257" s="132" t="s">
        <v>9</v>
      </c>
      <c r="N257" s="132" t="s">
        <v>9</v>
      </c>
      <c r="O257" s="132" t="s">
        <v>9</v>
      </c>
      <c r="P257" s="69"/>
    </row>
    <row r="258" spans="2:21" ht="19.5" hidden="1" customHeight="1">
      <c r="B258" s="132">
        <v>244</v>
      </c>
      <c r="C258" s="195" t="s">
        <v>419</v>
      </c>
      <c r="D258" s="231" t="s">
        <v>415</v>
      </c>
      <c r="E258" s="232"/>
      <c r="F258" s="132" t="e">
        <f t="shared" si="8"/>
        <v>#DIV/0!</v>
      </c>
      <c r="G258" s="150">
        <v>0</v>
      </c>
      <c r="H258" s="66">
        <f t="shared" si="9"/>
        <v>0</v>
      </c>
      <c r="I258" s="233" t="s">
        <v>9</v>
      </c>
      <c r="J258" s="233"/>
      <c r="K258" s="233" t="s">
        <v>9</v>
      </c>
      <c r="L258" s="233"/>
      <c r="M258" s="132" t="s">
        <v>9</v>
      </c>
      <c r="N258" s="132" t="s">
        <v>9</v>
      </c>
      <c r="O258" s="132" t="s">
        <v>9</v>
      </c>
      <c r="P258" s="142"/>
    </row>
    <row r="259" spans="2:21" ht="19.5" customHeight="1">
      <c r="B259" s="132">
        <v>244</v>
      </c>
      <c r="C259" s="195" t="s">
        <v>420</v>
      </c>
      <c r="D259" s="231" t="s">
        <v>436</v>
      </c>
      <c r="E259" s="232"/>
      <c r="F259" s="132">
        <v>1</v>
      </c>
      <c r="G259" s="150">
        <v>10000</v>
      </c>
      <c r="H259" s="66">
        <f t="shared" si="9"/>
        <v>10000</v>
      </c>
      <c r="I259" s="233" t="s">
        <v>9</v>
      </c>
      <c r="J259" s="233"/>
      <c r="K259" s="233" t="s">
        <v>9</v>
      </c>
      <c r="L259" s="233"/>
      <c r="M259" s="132" t="s">
        <v>9</v>
      </c>
      <c r="N259" s="132" t="s">
        <v>9</v>
      </c>
      <c r="O259" s="132" t="s">
        <v>9</v>
      </c>
      <c r="P259" s="142"/>
    </row>
    <row r="260" spans="2:21" ht="19.5" customHeight="1">
      <c r="B260" s="202"/>
      <c r="C260" s="202" t="s">
        <v>421</v>
      </c>
      <c r="D260" s="208" t="s">
        <v>437</v>
      </c>
      <c r="E260" s="205"/>
      <c r="F260" s="202">
        <v>1</v>
      </c>
      <c r="G260" s="204">
        <v>30000</v>
      </c>
      <c r="H260" s="66">
        <f t="shared" si="9"/>
        <v>30000</v>
      </c>
      <c r="I260" s="233" t="s">
        <v>9</v>
      </c>
      <c r="J260" s="233"/>
      <c r="K260" s="233" t="s">
        <v>9</v>
      </c>
      <c r="L260" s="233"/>
      <c r="M260" s="202" t="s">
        <v>9</v>
      </c>
      <c r="N260" s="202" t="s">
        <v>9</v>
      </c>
      <c r="O260" s="202" t="s">
        <v>9</v>
      </c>
      <c r="P260" s="203"/>
    </row>
    <row r="261" spans="2:21" ht="38.25" hidden="1" customHeight="1">
      <c r="B261" s="132" t="s">
        <v>365</v>
      </c>
      <c r="C261" s="202" t="s">
        <v>425</v>
      </c>
      <c r="D261" s="298" t="s">
        <v>385</v>
      </c>
      <c r="E261" s="299"/>
      <c r="F261" s="132">
        <v>1</v>
      </c>
      <c r="G261" s="193">
        <v>0</v>
      </c>
      <c r="H261" s="66">
        <f>G261</f>
        <v>0</v>
      </c>
      <c r="I261" s="233" t="s">
        <v>9</v>
      </c>
      <c r="J261" s="233"/>
      <c r="K261" s="233" t="s">
        <v>9</v>
      </c>
      <c r="L261" s="233"/>
      <c r="M261" s="202" t="s">
        <v>9</v>
      </c>
      <c r="N261" s="202" t="s">
        <v>9</v>
      </c>
      <c r="O261" s="202" t="s">
        <v>9</v>
      </c>
      <c r="P261" s="142"/>
    </row>
    <row r="262" spans="2:21" ht="19.149999999999999" hidden="1" customHeight="1">
      <c r="B262" s="132">
        <v>244</v>
      </c>
      <c r="C262" s="132" t="s">
        <v>366</v>
      </c>
      <c r="D262" s="231" t="s">
        <v>393</v>
      </c>
      <c r="E262" s="232"/>
      <c r="F262" s="132">
        <v>1</v>
      </c>
      <c r="G262" s="150"/>
      <c r="H262" s="66">
        <v>0</v>
      </c>
      <c r="I262" s="233" t="s">
        <v>9</v>
      </c>
      <c r="J262" s="233"/>
      <c r="K262" s="233" t="s">
        <v>9</v>
      </c>
      <c r="L262" s="233"/>
      <c r="M262" s="202" t="s">
        <v>9</v>
      </c>
      <c r="N262" s="202" t="s">
        <v>9</v>
      </c>
      <c r="O262" s="202" t="s">
        <v>9</v>
      </c>
      <c r="P262" s="142"/>
    </row>
    <row r="263" spans="2:21" ht="30" hidden="1" customHeight="1">
      <c r="B263" s="132">
        <v>244</v>
      </c>
      <c r="C263" s="132">
        <v>5</v>
      </c>
      <c r="D263" s="231"/>
      <c r="E263" s="232"/>
      <c r="F263" s="132"/>
      <c r="G263" s="150"/>
      <c r="H263" s="66"/>
      <c r="I263" s="233" t="s">
        <v>9</v>
      </c>
      <c r="J263" s="233"/>
      <c r="K263" s="233" t="s">
        <v>9</v>
      </c>
      <c r="L263" s="233"/>
      <c r="M263" s="202" t="s">
        <v>9</v>
      </c>
      <c r="N263" s="202" t="s">
        <v>9</v>
      </c>
      <c r="O263" s="202" t="s">
        <v>9</v>
      </c>
      <c r="P263" s="142"/>
      <c r="Q263" s="190" t="s">
        <v>394</v>
      </c>
    </row>
    <row r="264" spans="2:21" ht="27.75" hidden="1" customHeight="1">
      <c r="B264" s="132">
        <v>244</v>
      </c>
      <c r="C264" s="132" t="s">
        <v>369</v>
      </c>
      <c r="D264" s="231"/>
      <c r="E264" s="232"/>
      <c r="F264" s="132"/>
      <c r="G264" s="150"/>
      <c r="H264" s="66"/>
      <c r="I264" s="233" t="s">
        <v>9</v>
      </c>
      <c r="J264" s="233"/>
      <c r="K264" s="233" t="s">
        <v>9</v>
      </c>
      <c r="L264" s="233"/>
      <c r="M264" s="202" t="s">
        <v>9</v>
      </c>
      <c r="N264" s="202" t="s">
        <v>9</v>
      </c>
      <c r="O264" s="202" t="s">
        <v>9</v>
      </c>
      <c r="P264" s="142"/>
    </row>
    <row r="265" spans="2:21" ht="26.25" hidden="1" customHeight="1">
      <c r="B265" s="132">
        <v>244</v>
      </c>
      <c r="C265" s="132">
        <v>5</v>
      </c>
      <c r="D265" s="231"/>
      <c r="E265" s="232"/>
      <c r="F265" s="132"/>
      <c r="G265" s="150"/>
      <c r="H265" s="66"/>
      <c r="I265" s="233" t="s">
        <v>9</v>
      </c>
      <c r="J265" s="233"/>
      <c r="K265" s="233" t="s">
        <v>9</v>
      </c>
      <c r="L265" s="233"/>
      <c r="M265" s="202" t="s">
        <v>9</v>
      </c>
      <c r="N265" s="202" t="s">
        <v>9</v>
      </c>
      <c r="O265" s="202" t="s">
        <v>9</v>
      </c>
      <c r="P265" s="142"/>
      <c r="Q265" s="49" t="s">
        <v>314</v>
      </c>
    </row>
    <row r="266" spans="2:21" ht="30.75" hidden="1" customHeight="1">
      <c r="B266" s="132">
        <v>244</v>
      </c>
      <c r="C266" s="132">
        <v>6</v>
      </c>
      <c r="D266" s="231" t="s">
        <v>410</v>
      </c>
      <c r="E266" s="232"/>
      <c r="F266" s="68">
        <v>1</v>
      </c>
      <c r="G266" s="132">
        <v>0</v>
      </c>
      <c r="H266" s="66">
        <f>G266</f>
        <v>0</v>
      </c>
      <c r="I266" s="233" t="s">
        <v>9</v>
      </c>
      <c r="J266" s="233"/>
      <c r="K266" s="233" t="s">
        <v>9</v>
      </c>
      <c r="L266" s="233"/>
      <c r="M266" s="202" t="s">
        <v>9</v>
      </c>
      <c r="N266" s="202" t="s">
        <v>9</v>
      </c>
      <c r="O266" s="202" t="s">
        <v>9</v>
      </c>
      <c r="P266" s="69"/>
      <c r="Q266" s="49" t="s">
        <v>314</v>
      </c>
      <c r="R266" s="49"/>
    </row>
    <row r="267" spans="2:21" ht="30.75" hidden="1" customHeight="1">
      <c r="B267" s="202"/>
      <c r="C267" s="201">
        <v>7</v>
      </c>
      <c r="D267" s="231" t="s">
        <v>426</v>
      </c>
      <c r="E267" s="232"/>
      <c r="F267" s="68">
        <v>1</v>
      </c>
      <c r="G267" s="202">
        <v>0</v>
      </c>
      <c r="H267" s="66">
        <f>G267</f>
        <v>0</v>
      </c>
      <c r="I267" s="233" t="s">
        <v>9</v>
      </c>
      <c r="J267" s="233"/>
      <c r="K267" s="233" t="s">
        <v>9</v>
      </c>
      <c r="L267" s="233"/>
      <c r="M267" s="202" t="s">
        <v>9</v>
      </c>
      <c r="N267" s="202" t="s">
        <v>9</v>
      </c>
      <c r="O267" s="202" t="s">
        <v>9</v>
      </c>
      <c r="P267" s="69"/>
      <c r="Q267" s="49"/>
      <c r="R267" s="49"/>
    </row>
    <row r="268" spans="2:21" ht="15.75" customHeight="1">
      <c r="B268" s="84"/>
      <c r="C268" s="237" t="s">
        <v>23</v>
      </c>
      <c r="D268" s="294"/>
      <c r="E268" s="238"/>
      <c r="F268" s="148" t="s">
        <v>9</v>
      </c>
      <c r="G268" s="148" t="s">
        <v>9</v>
      </c>
      <c r="H268" s="191">
        <f>H249+H252+H253+H254+H266+H265+H248+H263+H267</f>
        <v>2340621.1900000004</v>
      </c>
      <c r="I268" s="297">
        <f>T248</f>
        <v>429215.4</v>
      </c>
      <c r="J268" s="297"/>
      <c r="K268" s="297">
        <f>T252</f>
        <v>859956.39</v>
      </c>
      <c r="L268" s="297"/>
      <c r="M268" s="191">
        <v>0</v>
      </c>
      <c r="N268" s="191">
        <f>T249+U249</f>
        <v>1051449.3999999999</v>
      </c>
      <c r="O268" s="145">
        <v>0</v>
      </c>
      <c r="P268" s="59"/>
      <c r="Q268" s="49" t="s">
        <v>306</v>
      </c>
      <c r="R268" s="49"/>
      <c r="S268" s="78">
        <f>SUM(I268:N268)</f>
        <v>2340621.19</v>
      </c>
      <c r="U268" s="96">
        <f>H268-S268</f>
        <v>0</v>
      </c>
    </row>
    <row r="269" spans="2:21" ht="15.75" customHeight="1">
      <c r="B269" s="52"/>
      <c r="C269" s="52"/>
      <c r="D269" s="52"/>
      <c r="E269" s="52"/>
      <c r="F269" s="52"/>
      <c r="G269" s="188"/>
      <c r="H269" s="52"/>
      <c r="I269" s="52"/>
      <c r="J269" s="52"/>
      <c r="K269" s="52"/>
      <c r="L269" s="52"/>
      <c r="M269" s="52"/>
      <c r="N269" s="52"/>
      <c r="O269" s="52"/>
      <c r="P269" s="52"/>
      <c r="S269" s="53" t="b">
        <f>S268=H268</f>
        <v>1</v>
      </c>
      <c r="T269" s="96"/>
    </row>
    <row r="270" spans="2:21" ht="15" customHeight="1"/>
    <row r="271" spans="2:21" ht="15" customHeight="1"/>
    <row r="272" spans="2:21" ht="15" customHeight="1"/>
    <row r="273" spans="4:14" ht="15" customHeight="1"/>
    <row r="274" spans="4:14" ht="15" customHeight="1">
      <c r="D274" s="96">
        <f>F274-H274</f>
        <v>0</v>
      </c>
      <c r="E274" s="100" t="s">
        <v>315</v>
      </c>
      <c r="F274" s="183">
        <f>L17+G26+I35+I44+H59+H70+I82+F91+F101+H112+H121+I132+H141+J156+H181+H209+H218+H241+I268</f>
        <v>22545200.620000001</v>
      </c>
      <c r="G274" s="53" t="b">
        <f>F274=H274</f>
        <v>1</v>
      </c>
      <c r="H274" s="185">
        <f>'Раздел 1'!D15+'Раздел 1'!D30</f>
        <v>22545200.620000001</v>
      </c>
      <c r="I274" s="192" t="s">
        <v>322</v>
      </c>
      <c r="J274" s="53">
        <v>111</v>
      </c>
      <c r="K274" s="78">
        <f>K17+E26</f>
        <v>15335018.040000001</v>
      </c>
      <c r="L274" s="78">
        <f>'Раздел 1'!D33</f>
        <v>15335018.039999999</v>
      </c>
      <c r="M274" s="53" t="b">
        <f>K274=L274</f>
        <v>1</v>
      </c>
      <c r="N274" s="78">
        <f>K274-L274</f>
        <v>0</v>
      </c>
    </row>
    <row r="275" spans="4:14" ht="15" customHeight="1">
      <c r="D275" s="96">
        <f>F275-H275</f>
        <v>0</v>
      </c>
      <c r="E275" s="100" t="s">
        <v>308</v>
      </c>
      <c r="F275" s="183">
        <f>M17+I26+K35+K44+J59+J70+K82+H91+H101+J112+J121+K132+J141+L156+J181+J209+J218+J241+K268</f>
        <v>1239146.3900000001</v>
      </c>
      <c r="G275" s="53" t="b">
        <f>F275=H275</f>
        <v>1</v>
      </c>
      <c r="H275" s="100">
        <f>'Раздел 1'!D20</f>
        <v>1239146.3899999999</v>
      </c>
      <c r="J275" s="53">
        <v>112</v>
      </c>
      <c r="K275" s="96">
        <f>H35</f>
        <v>0</v>
      </c>
      <c r="L275" s="78">
        <f>'Раздел 1'!D34</f>
        <v>0</v>
      </c>
      <c r="M275" s="53" t="b">
        <f t="shared" ref="M275:M283" si="10">K275=L275</f>
        <v>1</v>
      </c>
      <c r="N275" s="78">
        <f t="shared" ref="N275:N281" si="11">K275-L275</f>
        <v>0</v>
      </c>
    </row>
    <row r="276" spans="4:14" ht="15" customHeight="1">
      <c r="D276" s="96">
        <f>H276-F276</f>
        <v>0</v>
      </c>
      <c r="E276" s="100" t="s">
        <v>294</v>
      </c>
      <c r="F276" s="184">
        <f>O17+L26+N35+N44+M59+M70+N82+K91+K101+N112+N121+N132+M141+O156+M181+M209+M218+M241+N268</f>
        <v>1105549.48</v>
      </c>
      <c r="G276" s="53" t="b">
        <f>F276=H276</f>
        <v>1</v>
      </c>
      <c r="H276" s="185">
        <f>'Раздел 1'!D16+F282-'Раздел 1'!D10</f>
        <v>1105549.48</v>
      </c>
      <c r="J276" s="53">
        <v>113</v>
      </c>
      <c r="K276" s="53">
        <f>H44</f>
        <v>0</v>
      </c>
      <c r="L276" s="78">
        <f>'Раздел 1'!D35</f>
        <v>0</v>
      </c>
      <c r="M276" s="53" t="b">
        <f t="shared" si="10"/>
        <v>1</v>
      </c>
      <c r="N276" s="78">
        <f t="shared" si="11"/>
        <v>0</v>
      </c>
    </row>
    <row r="277" spans="4:14" ht="15" customHeight="1">
      <c r="E277" s="100" t="s">
        <v>7</v>
      </c>
      <c r="F277" s="184">
        <f>SUM(F274:F276)</f>
        <v>24889896.490000002</v>
      </c>
      <c r="G277" s="184">
        <f t="shared" ref="G277:H277" si="12">SUM(G274:G276)</f>
        <v>0</v>
      </c>
      <c r="H277" s="184">
        <f t="shared" si="12"/>
        <v>24889896.490000002</v>
      </c>
      <c r="J277" s="53">
        <v>119</v>
      </c>
      <c r="K277" s="96">
        <f>G59</f>
        <v>4586328.68</v>
      </c>
      <c r="L277" s="78">
        <f>'Раздел 1'!D36</f>
        <v>4586328.68</v>
      </c>
      <c r="M277" s="53" t="b">
        <f t="shared" si="10"/>
        <v>1</v>
      </c>
      <c r="N277" s="78">
        <f>K277-L277</f>
        <v>0</v>
      </c>
    </row>
    <row r="278" spans="4:14" ht="15" customHeight="1">
      <c r="J278" s="53">
        <v>851</v>
      </c>
      <c r="K278" s="96">
        <f>H82</f>
        <v>122000</v>
      </c>
      <c r="L278" s="78">
        <f>'Раздел 1'!D47</f>
        <v>122000</v>
      </c>
      <c r="M278" s="53" t="b">
        <f t="shared" si="10"/>
        <v>1</v>
      </c>
      <c r="N278" s="78">
        <f t="shared" si="11"/>
        <v>0</v>
      </c>
    </row>
    <row r="279" spans="4:14" ht="15" customHeight="1">
      <c r="J279" s="53">
        <v>852</v>
      </c>
      <c r="K279" s="96">
        <f>E91</f>
        <v>0</v>
      </c>
      <c r="L279" s="78">
        <f>'Раздел 1'!D48</f>
        <v>0</v>
      </c>
      <c r="M279" s="53" t="b">
        <f t="shared" si="10"/>
        <v>1</v>
      </c>
      <c r="N279" s="78">
        <f t="shared" si="11"/>
        <v>0</v>
      </c>
    </row>
    <row r="280" spans="4:14" ht="15" customHeight="1">
      <c r="J280" s="53">
        <v>853</v>
      </c>
      <c r="K280" s="96">
        <f>E101</f>
        <v>0</v>
      </c>
      <c r="L280" s="78">
        <f>'Раздел 1'!D49</f>
        <v>0</v>
      </c>
      <c r="M280" s="53" t="b">
        <f t="shared" si="10"/>
        <v>1</v>
      </c>
      <c r="N280" s="78">
        <f t="shared" si="11"/>
        <v>0</v>
      </c>
    </row>
    <row r="281" spans="4:14" ht="15" customHeight="1">
      <c r="J281" s="53">
        <v>243</v>
      </c>
      <c r="K281" s="96">
        <f>G112+G121</f>
        <v>0</v>
      </c>
      <c r="L281" s="78"/>
      <c r="M281" s="53" t="b">
        <f t="shared" si="10"/>
        <v>1</v>
      </c>
      <c r="N281" s="78">
        <f t="shared" si="11"/>
        <v>0</v>
      </c>
    </row>
    <row r="282" spans="4:14" ht="15" customHeight="1">
      <c r="E282" s="192" t="s">
        <v>384</v>
      </c>
      <c r="F282" s="99">
        <f>'Раздел 1'!D9</f>
        <v>145439.4</v>
      </c>
      <c r="J282" s="53">
        <v>244</v>
      </c>
      <c r="K282" s="78">
        <f>H132+G141+I156+G181+G209+G218+G241+H268</f>
        <v>4846549.7700000005</v>
      </c>
      <c r="L282" s="78">
        <f>'Раздел 1'!D57</f>
        <v>4846549.7699999996</v>
      </c>
      <c r="M282" s="53" t="b">
        <f t="shared" si="10"/>
        <v>1</v>
      </c>
      <c r="N282" s="78">
        <f>K282-L282</f>
        <v>0</v>
      </c>
    </row>
    <row r="283" spans="4:14" ht="15" customHeight="1">
      <c r="J283" s="53" t="s">
        <v>323</v>
      </c>
      <c r="K283" s="78">
        <f>SUM(K274:K282)</f>
        <v>24889896.489999998</v>
      </c>
      <c r="L283" s="78">
        <f>SUM(L274:L282)</f>
        <v>24889896.489999998</v>
      </c>
      <c r="M283" s="53" t="b">
        <f t="shared" si="10"/>
        <v>1</v>
      </c>
      <c r="N283" s="78">
        <f>L283-K283</f>
        <v>0</v>
      </c>
    </row>
    <row r="284" spans="4:14" ht="15" customHeight="1">
      <c r="K284" s="53" t="b">
        <f>F277=K283</f>
        <v>1</v>
      </c>
      <c r="L284" s="78"/>
    </row>
    <row r="285" spans="4:14" ht="15" customHeight="1">
      <c r="K285" s="53" t="b">
        <f>K283=H277</f>
        <v>1</v>
      </c>
    </row>
    <row r="286" spans="4:14" ht="15" customHeight="1"/>
    <row r="287" spans="4:14" ht="15" customHeight="1"/>
    <row r="288" spans="4:14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  <row r="399754" ht="15" customHeight="1"/>
    <row r="399755" ht="15" customHeight="1"/>
    <row r="399756" ht="15" customHeight="1"/>
    <row r="399757" ht="15" customHeight="1"/>
    <row r="399758" ht="15" customHeight="1"/>
    <row r="399759" ht="15" customHeight="1"/>
    <row r="399760" ht="15" customHeight="1"/>
    <row r="399761" ht="15" customHeight="1"/>
    <row r="399762" ht="15" customHeight="1"/>
    <row r="399763" ht="15" customHeight="1"/>
    <row r="399764" ht="15" customHeight="1"/>
    <row r="399765" ht="15" customHeight="1"/>
    <row r="399766" ht="15" customHeight="1"/>
    <row r="399767" ht="15" customHeight="1"/>
    <row r="399768" ht="15" customHeight="1"/>
    <row r="399769" ht="15" customHeight="1"/>
  </sheetData>
  <mergeCells count="554">
    <mergeCell ref="D257:E257"/>
    <mergeCell ref="I257:J257"/>
    <mergeCell ref="K257:L257"/>
    <mergeCell ref="D258:E258"/>
    <mergeCell ref="I258:J258"/>
    <mergeCell ref="K258:L258"/>
    <mergeCell ref="H238:I238"/>
    <mergeCell ref="H169:I169"/>
    <mergeCell ref="H170:I170"/>
    <mergeCell ref="J169:K169"/>
    <mergeCell ref="J170:K170"/>
    <mergeCell ref="D220:N220"/>
    <mergeCell ref="H208:I208"/>
    <mergeCell ref="J208:K208"/>
    <mergeCell ref="C209:D209"/>
    <mergeCell ref="H209:I209"/>
    <mergeCell ref="J209:K209"/>
    <mergeCell ref="H216:I216"/>
    <mergeCell ref="J238:K238"/>
    <mergeCell ref="D255:E255"/>
    <mergeCell ref="I255:J255"/>
    <mergeCell ref="K255:L255"/>
    <mergeCell ref="D256:E256"/>
    <mergeCell ref="I256:J256"/>
    <mergeCell ref="J168:K168"/>
    <mergeCell ref="H168:I168"/>
    <mergeCell ref="H206:I206"/>
    <mergeCell ref="J206:K206"/>
    <mergeCell ref="H167:I167"/>
    <mergeCell ref="J167:K167"/>
    <mergeCell ref="J175:K175"/>
    <mergeCell ref="H175:I175"/>
    <mergeCell ref="J189:K189"/>
    <mergeCell ref="C183:M183"/>
    <mergeCell ref="J176:K176"/>
    <mergeCell ref="H177:I177"/>
    <mergeCell ref="J177:K177"/>
    <mergeCell ref="H179:I179"/>
    <mergeCell ref="J179:K179"/>
    <mergeCell ref="H180:I180"/>
    <mergeCell ref="J180:K180"/>
    <mergeCell ref="C181:D181"/>
    <mergeCell ref="H181:I181"/>
    <mergeCell ref="J181:K181"/>
    <mergeCell ref="H204:I204"/>
    <mergeCell ref="J204:K204"/>
    <mergeCell ref="H205:I205"/>
    <mergeCell ref="J205:K205"/>
    <mergeCell ref="K256:L256"/>
    <mergeCell ref="D254:E254"/>
    <mergeCell ref="I254:J254"/>
    <mergeCell ref="K254:L254"/>
    <mergeCell ref="D249:E249"/>
    <mergeCell ref="I249:J249"/>
    <mergeCell ref="K252:L252"/>
    <mergeCell ref="D247:E247"/>
    <mergeCell ref="I247:J247"/>
    <mergeCell ref="K247:L247"/>
    <mergeCell ref="D248:E248"/>
    <mergeCell ref="I248:J248"/>
    <mergeCell ref="K248:L248"/>
    <mergeCell ref="D253:E253"/>
    <mergeCell ref="I253:J253"/>
    <mergeCell ref="K253:L253"/>
    <mergeCell ref="D250:E250"/>
    <mergeCell ref="D251:E251"/>
    <mergeCell ref="I250:J250"/>
    <mergeCell ref="K250:L250"/>
    <mergeCell ref="I251:J251"/>
    <mergeCell ref="K251:L251"/>
    <mergeCell ref="K249:L249"/>
    <mergeCell ref="D252:E252"/>
    <mergeCell ref="D266:E266"/>
    <mergeCell ref="I266:J266"/>
    <mergeCell ref="K266:L266"/>
    <mergeCell ref="C268:E268"/>
    <mergeCell ref="I268:J268"/>
    <mergeCell ref="K268:L268"/>
    <mergeCell ref="D259:E259"/>
    <mergeCell ref="I259:J259"/>
    <mergeCell ref="K259:L259"/>
    <mergeCell ref="D263:E263"/>
    <mergeCell ref="D261:E261"/>
    <mergeCell ref="I261:J261"/>
    <mergeCell ref="K261:L261"/>
    <mergeCell ref="I263:J263"/>
    <mergeCell ref="K263:L263"/>
    <mergeCell ref="I262:J262"/>
    <mergeCell ref="K262:L262"/>
    <mergeCell ref="D262:E262"/>
    <mergeCell ref="D265:E265"/>
    <mergeCell ref="I265:J265"/>
    <mergeCell ref="K265:L265"/>
    <mergeCell ref="D264:E264"/>
    <mergeCell ref="I264:J264"/>
    <mergeCell ref="K264:L264"/>
    <mergeCell ref="I252:J252"/>
    <mergeCell ref="H239:I239"/>
    <mergeCell ref="J239:K239"/>
    <mergeCell ref="C241:D241"/>
    <mergeCell ref="H241:I241"/>
    <mergeCell ref="J241:K241"/>
    <mergeCell ref="G233:G234"/>
    <mergeCell ref="H233:I234"/>
    <mergeCell ref="J233:K234"/>
    <mergeCell ref="H235:I235"/>
    <mergeCell ref="J235:K235"/>
    <mergeCell ref="C243:M243"/>
    <mergeCell ref="B244:B246"/>
    <mergeCell ref="C244:C246"/>
    <mergeCell ref="D244:E246"/>
    <mergeCell ref="F244:F246"/>
    <mergeCell ref="G244:G246"/>
    <mergeCell ref="I244:O244"/>
    <mergeCell ref="H245:H246"/>
    <mergeCell ref="I245:J246"/>
    <mergeCell ref="K245:L246"/>
    <mergeCell ref="M245:M246"/>
    <mergeCell ref="N245:O245"/>
    <mergeCell ref="B232:B234"/>
    <mergeCell ref="C232:C234"/>
    <mergeCell ref="D232:D234"/>
    <mergeCell ref="E232:E234"/>
    <mergeCell ref="F232:F234"/>
    <mergeCell ref="H232:N232"/>
    <mergeCell ref="H236:I236"/>
    <mergeCell ref="J236:K236"/>
    <mergeCell ref="H237:I237"/>
    <mergeCell ref="J237:K237"/>
    <mergeCell ref="G223:G224"/>
    <mergeCell ref="H223:I224"/>
    <mergeCell ref="J223:K224"/>
    <mergeCell ref="L223:L224"/>
    <mergeCell ref="M223:N223"/>
    <mergeCell ref="L233:L234"/>
    <mergeCell ref="M233:N233"/>
    <mergeCell ref="H225:I225"/>
    <mergeCell ref="J225:K225"/>
    <mergeCell ref="H226:I226"/>
    <mergeCell ref="C227:D227"/>
    <mergeCell ref="H227:I227"/>
    <mergeCell ref="J227:K227"/>
    <mergeCell ref="C230:M230"/>
    <mergeCell ref="J226:K226"/>
    <mergeCell ref="B213:B215"/>
    <mergeCell ref="C213:C215"/>
    <mergeCell ref="D213:D215"/>
    <mergeCell ref="E213:E215"/>
    <mergeCell ref="F213:F215"/>
    <mergeCell ref="H213:N213"/>
    <mergeCell ref="G214:G215"/>
    <mergeCell ref="H214:I215"/>
    <mergeCell ref="J214:K215"/>
    <mergeCell ref="L214:L215"/>
    <mergeCell ref="M214:N214"/>
    <mergeCell ref="H217:I217"/>
    <mergeCell ref="J217:K217"/>
    <mergeCell ref="B222:B224"/>
    <mergeCell ref="C222:C224"/>
    <mergeCell ref="D222:D224"/>
    <mergeCell ref="E222:E224"/>
    <mergeCell ref="F222:F224"/>
    <mergeCell ref="H222:N222"/>
    <mergeCell ref="B185:B187"/>
    <mergeCell ref="C185:C187"/>
    <mergeCell ref="D185:D187"/>
    <mergeCell ref="E185:E187"/>
    <mergeCell ref="F185:F187"/>
    <mergeCell ref="H185:N185"/>
    <mergeCell ref="G186:G187"/>
    <mergeCell ref="H186:I187"/>
    <mergeCell ref="J186:K187"/>
    <mergeCell ref="L186:L187"/>
    <mergeCell ref="M186:N186"/>
    <mergeCell ref="H164:I164"/>
    <mergeCell ref="J164:K164"/>
    <mergeCell ref="H165:I165"/>
    <mergeCell ref="J165:K165"/>
    <mergeCell ref="H166:I166"/>
    <mergeCell ref="J166:K166"/>
    <mergeCell ref="G161:G162"/>
    <mergeCell ref="H161:I162"/>
    <mergeCell ref="J161:K162"/>
    <mergeCell ref="L161:L162"/>
    <mergeCell ref="M161:N161"/>
    <mergeCell ref="H163:I163"/>
    <mergeCell ref="J163:K163"/>
    <mergeCell ref="C156:E156"/>
    <mergeCell ref="J156:K156"/>
    <mergeCell ref="L156:M156"/>
    <mergeCell ref="C158:M158"/>
    <mergeCell ref="B160:B162"/>
    <mergeCell ref="C160:C162"/>
    <mergeCell ref="D160:D162"/>
    <mergeCell ref="E160:E162"/>
    <mergeCell ref="F160:F162"/>
    <mergeCell ref="H160:N160"/>
    <mergeCell ref="D155:E155"/>
    <mergeCell ref="J155:K155"/>
    <mergeCell ref="L155:M155"/>
    <mergeCell ref="D150:E150"/>
    <mergeCell ref="J150:K150"/>
    <mergeCell ref="L150:M150"/>
    <mergeCell ref="D151:E151"/>
    <mergeCell ref="J151:K151"/>
    <mergeCell ref="L151:M151"/>
    <mergeCell ref="J153:K153"/>
    <mergeCell ref="J154:K154"/>
    <mergeCell ref="L153:M153"/>
    <mergeCell ref="L154:M154"/>
    <mergeCell ref="D154:E154"/>
    <mergeCell ref="D149:E149"/>
    <mergeCell ref="J149:K149"/>
    <mergeCell ref="L149:M149"/>
    <mergeCell ref="I146:I147"/>
    <mergeCell ref="J146:K147"/>
    <mergeCell ref="L146:M147"/>
    <mergeCell ref="D152:E152"/>
    <mergeCell ref="J152:K152"/>
    <mergeCell ref="L152:M152"/>
    <mergeCell ref="N146:N147"/>
    <mergeCell ref="O146:P146"/>
    <mergeCell ref="D148:E148"/>
    <mergeCell ref="J148:K148"/>
    <mergeCell ref="L148:M148"/>
    <mergeCell ref="H141:I141"/>
    <mergeCell ref="J141:K141"/>
    <mergeCell ref="E143:M143"/>
    <mergeCell ref="B145:B147"/>
    <mergeCell ref="C145:C147"/>
    <mergeCell ref="D145:E147"/>
    <mergeCell ref="F145:F147"/>
    <mergeCell ref="G145:G147"/>
    <mergeCell ref="H145:H147"/>
    <mergeCell ref="J145:P145"/>
    <mergeCell ref="L137:L138"/>
    <mergeCell ref="M137:N137"/>
    <mergeCell ref="H139:I139"/>
    <mergeCell ref="J139:K139"/>
    <mergeCell ref="H140:I140"/>
    <mergeCell ref="J140:K140"/>
    <mergeCell ref="E134:M134"/>
    <mergeCell ref="B136:B138"/>
    <mergeCell ref="C136:C138"/>
    <mergeCell ref="D136:D138"/>
    <mergeCell ref="E136:E138"/>
    <mergeCell ref="F136:F138"/>
    <mergeCell ref="H136:N136"/>
    <mergeCell ref="G137:G138"/>
    <mergeCell ref="H137:I138"/>
    <mergeCell ref="J137:K138"/>
    <mergeCell ref="I130:J130"/>
    <mergeCell ref="K130:L130"/>
    <mergeCell ref="I131:J131"/>
    <mergeCell ref="K131:L131"/>
    <mergeCell ref="I132:J132"/>
    <mergeCell ref="K132:L132"/>
    <mergeCell ref="I127:J128"/>
    <mergeCell ref="K127:L128"/>
    <mergeCell ref="M127:M128"/>
    <mergeCell ref="N127:O127"/>
    <mergeCell ref="I129:J129"/>
    <mergeCell ref="K129:L129"/>
    <mergeCell ref="E122:M122"/>
    <mergeCell ref="E124:M124"/>
    <mergeCell ref="B126:B128"/>
    <mergeCell ref="C126:C128"/>
    <mergeCell ref="D126:D128"/>
    <mergeCell ref="E126:E128"/>
    <mergeCell ref="F126:F128"/>
    <mergeCell ref="G126:G128"/>
    <mergeCell ref="I126:O126"/>
    <mergeCell ref="H127:H128"/>
    <mergeCell ref="H120:I120"/>
    <mergeCell ref="J120:K120"/>
    <mergeCell ref="L120:M120"/>
    <mergeCell ref="H121:I121"/>
    <mergeCell ref="J121:K121"/>
    <mergeCell ref="L121:M121"/>
    <mergeCell ref="G117:G118"/>
    <mergeCell ref="H117:I118"/>
    <mergeCell ref="J117:K118"/>
    <mergeCell ref="L117:M118"/>
    <mergeCell ref="N117:O117"/>
    <mergeCell ref="H119:I119"/>
    <mergeCell ref="J119:K119"/>
    <mergeCell ref="L119:M119"/>
    <mergeCell ref="H112:I112"/>
    <mergeCell ref="J112:K112"/>
    <mergeCell ref="L112:M112"/>
    <mergeCell ref="C114:M114"/>
    <mergeCell ref="B116:B118"/>
    <mergeCell ref="C116:C118"/>
    <mergeCell ref="D116:D118"/>
    <mergeCell ref="E116:E118"/>
    <mergeCell ref="F116:F118"/>
    <mergeCell ref="H116:O116"/>
    <mergeCell ref="H111:I111"/>
    <mergeCell ref="J111:K111"/>
    <mergeCell ref="L111:M111"/>
    <mergeCell ref="B107:B109"/>
    <mergeCell ref="C107:C109"/>
    <mergeCell ref="D107:D109"/>
    <mergeCell ref="E107:E109"/>
    <mergeCell ref="F107:F109"/>
    <mergeCell ref="H107:O107"/>
    <mergeCell ref="G108:G109"/>
    <mergeCell ref="H108:I109"/>
    <mergeCell ref="J108:K109"/>
    <mergeCell ref="L108:M109"/>
    <mergeCell ref="C103:M103"/>
    <mergeCell ref="C105:M105"/>
    <mergeCell ref="F96:G97"/>
    <mergeCell ref="H96:I97"/>
    <mergeCell ref="J96:J97"/>
    <mergeCell ref="K96:L96"/>
    <mergeCell ref="N108:O108"/>
    <mergeCell ref="H110:I110"/>
    <mergeCell ref="J110:K110"/>
    <mergeCell ref="L110:M110"/>
    <mergeCell ref="B95:B97"/>
    <mergeCell ref="C95:C97"/>
    <mergeCell ref="D95:D97"/>
    <mergeCell ref="E95:E97"/>
    <mergeCell ref="F95:L95"/>
    <mergeCell ref="F100:G100"/>
    <mergeCell ref="H100:I100"/>
    <mergeCell ref="F101:G101"/>
    <mergeCell ref="H101:I101"/>
    <mergeCell ref="F99:G99"/>
    <mergeCell ref="H99:I99"/>
    <mergeCell ref="N87:O87"/>
    <mergeCell ref="F89:G89"/>
    <mergeCell ref="H89:I89"/>
    <mergeCell ref="E82:F82"/>
    <mergeCell ref="I82:J82"/>
    <mergeCell ref="K82:L82"/>
    <mergeCell ref="C84:M84"/>
    <mergeCell ref="N96:O96"/>
    <mergeCell ref="F98:G98"/>
    <mergeCell ref="H98:I98"/>
    <mergeCell ref="F90:G90"/>
    <mergeCell ref="H90:I90"/>
    <mergeCell ref="F91:G91"/>
    <mergeCell ref="H91:I91"/>
    <mergeCell ref="C93:M93"/>
    <mergeCell ref="B86:B88"/>
    <mergeCell ref="C86:C88"/>
    <mergeCell ref="D86:D88"/>
    <mergeCell ref="E86:E88"/>
    <mergeCell ref="F86:L86"/>
    <mergeCell ref="F87:G88"/>
    <mergeCell ref="E80:F80"/>
    <mergeCell ref="I80:J80"/>
    <mergeCell ref="K80:L80"/>
    <mergeCell ref="E81:F81"/>
    <mergeCell ref="I81:J81"/>
    <mergeCell ref="K81:L81"/>
    <mergeCell ref="H87:I88"/>
    <mergeCell ref="J87:J88"/>
    <mergeCell ref="K87:L87"/>
    <mergeCell ref="I76:O76"/>
    <mergeCell ref="I77:J78"/>
    <mergeCell ref="K77:L78"/>
    <mergeCell ref="M77:M78"/>
    <mergeCell ref="N77:O77"/>
    <mergeCell ref="I79:J79"/>
    <mergeCell ref="K79:L79"/>
    <mergeCell ref="B76:B78"/>
    <mergeCell ref="C76:C78"/>
    <mergeCell ref="D76:D78"/>
    <mergeCell ref="E76:F78"/>
    <mergeCell ref="G76:G78"/>
    <mergeCell ref="H76:H77"/>
    <mergeCell ref="H69:I69"/>
    <mergeCell ref="J69:K69"/>
    <mergeCell ref="H70:I70"/>
    <mergeCell ref="J70:K70"/>
    <mergeCell ref="C72:N72"/>
    <mergeCell ref="C74:N74"/>
    <mergeCell ref="G66:G67"/>
    <mergeCell ref="H66:I67"/>
    <mergeCell ref="J66:K67"/>
    <mergeCell ref="L66:L67"/>
    <mergeCell ref="M66:N66"/>
    <mergeCell ref="H68:I68"/>
    <mergeCell ref="J68:K68"/>
    <mergeCell ref="H59:I59"/>
    <mergeCell ref="J59:K59"/>
    <mergeCell ref="B61:M61"/>
    <mergeCell ref="C63:M63"/>
    <mergeCell ref="B65:B67"/>
    <mergeCell ref="C65:C67"/>
    <mergeCell ref="D65:D67"/>
    <mergeCell ref="E65:E67"/>
    <mergeCell ref="F65:F67"/>
    <mergeCell ref="H65:N65"/>
    <mergeCell ref="H56:I56"/>
    <mergeCell ref="J56:K56"/>
    <mergeCell ref="H57:I57"/>
    <mergeCell ref="J57:K57"/>
    <mergeCell ref="H58:I58"/>
    <mergeCell ref="J58:K58"/>
    <mergeCell ref="H53:I53"/>
    <mergeCell ref="J53:K53"/>
    <mergeCell ref="H54:I54"/>
    <mergeCell ref="J54:K54"/>
    <mergeCell ref="H55:I55"/>
    <mergeCell ref="J55:K55"/>
    <mergeCell ref="L49:L50"/>
    <mergeCell ref="M49:N49"/>
    <mergeCell ref="H51:I51"/>
    <mergeCell ref="J51:K51"/>
    <mergeCell ref="H52:I52"/>
    <mergeCell ref="J52:K52"/>
    <mergeCell ref="C46:N46"/>
    <mergeCell ref="B48:B50"/>
    <mergeCell ref="C48:C50"/>
    <mergeCell ref="D48:D50"/>
    <mergeCell ref="E48:E50"/>
    <mergeCell ref="F48:F50"/>
    <mergeCell ref="G48:G50"/>
    <mergeCell ref="H48:N48"/>
    <mergeCell ref="H49:I50"/>
    <mergeCell ref="J49:K50"/>
    <mergeCell ref="I43:J43"/>
    <mergeCell ref="K43:L43"/>
    <mergeCell ref="I44:J44"/>
    <mergeCell ref="K44:L44"/>
    <mergeCell ref="G39:G41"/>
    <mergeCell ref="I39:O39"/>
    <mergeCell ref="H40:H41"/>
    <mergeCell ref="I40:J41"/>
    <mergeCell ref="K40:L41"/>
    <mergeCell ref="M40:M41"/>
    <mergeCell ref="N40:O40"/>
    <mergeCell ref="C37:N37"/>
    <mergeCell ref="B39:B41"/>
    <mergeCell ref="C39:C41"/>
    <mergeCell ref="D39:D41"/>
    <mergeCell ref="E39:E41"/>
    <mergeCell ref="F39:F41"/>
    <mergeCell ref="Q40:S40"/>
    <mergeCell ref="I42:J42"/>
    <mergeCell ref="K42:L42"/>
    <mergeCell ref="Q31:S31"/>
    <mergeCell ref="I33:J33"/>
    <mergeCell ref="K33:L33"/>
    <mergeCell ref="C28:N28"/>
    <mergeCell ref="B30:B32"/>
    <mergeCell ref="C30:C32"/>
    <mergeCell ref="D30:D32"/>
    <mergeCell ref="E30:E32"/>
    <mergeCell ref="F30:F32"/>
    <mergeCell ref="G30:G32"/>
    <mergeCell ref="I30:O30"/>
    <mergeCell ref="H31:H32"/>
    <mergeCell ref="I31:J32"/>
    <mergeCell ref="B21:B23"/>
    <mergeCell ref="C21:C23"/>
    <mergeCell ref="D21:D23"/>
    <mergeCell ref="N10:N11"/>
    <mergeCell ref="F10:F11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G10:I10"/>
    <mergeCell ref="K10:K11"/>
    <mergeCell ref="L10:L11"/>
    <mergeCell ref="M10:M11"/>
    <mergeCell ref="K22:K23"/>
    <mergeCell ref="L22:M22"/>
    <mergeCell ref="E21:F23"/>
    <mergeCell ref="G21:M21"/>
    <mergeCell ref="G22:H23"/>
    <mergeCell ref="J199:K199"/>
    <mergeCell ref="J216:K216"/>
    <mergeCell ref="N22:O22"/>
    <mergeCell ref="E24:F24"/>
    <mergeCell ref="G24:H24"/>
    <mergeCell ref="I24:J24"/>
    <mergeCell ref="O10:P10"/>
    <mergeCell ref="C17:D17"/>
    <mergeCell ref="C19:N19"/>
    <mergeCell ref="E25:F25"/>
    <mergeCell ref="G25:H25"/>
    <mergeCell ref="I25:J25"/>
    <mergeCell ref="C26:D26"/>
    <mergeCell ref="E26:F26"/>
    <mergeCell ref="G26:H26"/>
    <mergeCell ref="I26:J26"/>
    <mergeCell ref="I22:J23"/>
    <mergeCell ref="K31:L32"/>
    <mergeCell ref="M31:M32"/>
    <mergeCell ref="N31:O31"/>
    <mergeCell ref="I34:J34"/>
    <mergeCell ref="K34:L34"/>
    <mergeCell ref="I35:J35"/>
    <mergeCell ref="K35:L35"/>
    <mergeCell ref="H178:I178"/>
    <mergeCell ref="J178:K178"/>
    <mergeCell ref="C211:M211"/>
    <mergeCell ref="C218:D218"/>
    <mergeCell ref="H218:I218"/>
    <mergeCell ref="J218:K218"/>
    <mergeCell ref="H188:I188"/>
    <mergeCell ref="J188:K188"/>
    <mergeCell ref="H189:I189"/>
    <mergeCell ref="H193:I193"/>
    <mergeCell ref="J193:K193"/>
    <mergeCell ref="H194:I194"/>
    <mergeCell ref="J194:K194"/>
    <mergeCell ref="H195:I195"/>
    <mergeCell ref="J195:K195"/>
    <mergeCell ref="H190:I190"/>
    <mergeCell ref="J190:K190"/>
    <mergeCell ref="H191:I191"/>
    <mergeCell ref="J191:K191"/>
    <mergeCell ref="H192:I192"/>
    <mergeCell ref="J192:K192"/>
    <mergeCell ref="H200:I200"/>
    <mergeCell ref="J200:K200"/>
    <mergeCell ref="H199:I199"/>
    <mergeCell ref="D267:E267"/>
    <mergeCell ref="I267:J267"/>
    <mergeCell ref="K267:L267"/>
    <mergeCell ref="I260:J260"/>
    <mergeCell ref="K260:L260"/>
    <mergeCell ref="H173:I173"/>
    <mergeCell ref="J173:K173"/>
    <mergeCell ref="H171:I171"/>
    <mergeCell ref="J171:K171"/>
    <mergeCell ref="H172:I172"/>
    <mergeCell ref="J172:K172"/>
    <mergeCell ref="H203:I203"/>
    <mergeCell ref="J203:K203"/>
    <mergeCell ref="H196:I196"/>
    <mergeCell ref="J196:K196"/>
    <mergeCell ref="H197:I197"/>
    <mergeCell ref="J197:K197"/>
    <mergeCell ref="H198:I198"/>
    <mergeCell ref="J198:K198"/>
    <mergeCell ref="H201:I201"/>
    <mergeCell ref="J201:K201"/>
    <mergeCell ref="H202:I202"/>
    <mergeCell ref="J202:K202"/>
    <mergeCell ref="H176:I176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  <rowBreaks count="2" manualBreakCount="2">
    <brk id="194" max="15" man="1"/>
    <brk id="233" max="15" man="1"/>
  </rowBreaks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Куркина</cp:lastModifiedBy>
  <cp:lastPrinted>2024-01-15T11:34:05Z</cp:lastPrinted>
  <dcterms:created xsi:type="dcterms:W3CDTF">2017-01-05T07:07:42Z</dcterms:created>
  <dcterms:modified xsi:type="dcterms:W3CDTF">2024-02-01T17:48:47Z</dcterms:modified>
</cp:coreProperties>
</file>